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55" yWindow="65431" windowWidth="10080" windowHeight="6030" activeTab="1"/>
  </bookViews>
  <sheets>
    <sheet name="Tabelle17" sheetId="1" r:id="rId1"/>
    <sheet name="Tabelle1" sheetId="2" r:id="rId2"/>
    <sheet name="Tabelle2" sheetId="3" r:id="rId3"/>
    <sheet name="Tabelle3" sheetId="4" r:id="rId4"/>
    <sheet name="Tabelle4" sheetId="5" r:id="rId5"/>
    <sheet name="Tabelle5" sheetId="6" r:id="rId6"/>
    <sheet name="Tabelle6" sheetId="7" r:id="rId7"/>
    <sheet name="Tabelle7" sheetId="8" r:id="rId8"/>
    <sheet name="Tabelle8" sheetId="9" r:id="rId9"/>
    <sheet name="Tabelle9" sheetId="10" r:id="rId10"/>
    <sheet name="Tabelle10" sheetId="11" r:id="rId11"/>
    <sheet name="Tabelle11" sheetId="12" r:id="rId12"/>
    <sheet name="Tabelle12" sheetId="13" r:id="rId13"/>
    <sheet name="Tabelle13" sheetId="14" r:id="rId14"/>
    <sheet name="Tabelle14" sheetId="15" r:id="rId15"/>
    <sheet name="Tabelle15" sheetId="16" r:id="rId16"/>
    <sheet name="Tabelle16" sheetId="17" r:id="rId17"/>
  </sheets>
  <definedNames>
    <definedName name="_g">'Tabelle1'!$C$34</definedName>
    <definedName name="_M">'Tabelle1'!$G$35</definedName>
    <definedName name="_V">'Tabelle1'!$G$36</definedName>
  </definedNames>
  <calcPr fullCalcOnLoad="1"/>
</workbook>
</file>

<file path=xl/sharedStrings.xml><?xml version="1.0" encoding="utf-8"?>
<sst xmlns="http://schemas.openxmlformats.org/spreadsheetml/2006/main" count="191" uniqueCount="130">
  <si>
    <t>copyright by:</t>
  </si>
  <si>
    <t>Expo Engineering, Dipl.-Ing. Michael Lück</t>
  </si>
  <si>
    <t>http://www.expo-engineering.de</t>
  </si>
  <si>
    <t>Load Calculator</t>
  </si>
  <si>
    <t>m</t>
  </si>
  <si>
    <t>kg/m</t>
  </si>
  <si>
    <t>mm</t>
  </si>
  <si>
    <r>
      <t>cm</t>
    </r>
    <r>
      <rPr>
        <vertAlign val="superscript"/>
        <sz val="10"/>
        <rFont val="Arial"/>
        <family val="2"/>
      </rPr>
      <t>2</t>
    </r>
  </si>
  <si>
    <t>cm</t>
  </si>
  <si>
    <r>
      <t>cm</t>
    </r>
    <r>
      <rPr>
        <vertAlign val="superscript"/>
        <sz val="10"/>
        <rFont val="Arial"/>
        <family val="2"/>
      </rPr>
      <t>4</t>
    </r>
  </si>
  <si>
    <t>kg</t>
  </si>
  <si>
    <r>
      <t>cm</t>
    </r>
    <r>
      <rPr>
        <vertAlign val="superscript"/>
        <sz val="10"/>
        <rFont val="Arial"/>
        <family val="2"/>
      </rPr>
      <t>3</t>
    </r>
  </si>
  <si>
    <t>kN/m</t>
  </si>
  <si>
    <t>kNm</t>
  </si>
  <si>
    <t>kN</t>
  </si>
  <si>
    <t>M</t>
  </si>
  <si>
    <t>V</t>
  </si>
  <si>
    <t>DIN4113</t>
  </si>
  <si>
    <t>FD34</t>
  </si>
  <si>
    <t>FD33</t>
  </si>
  <si>
    <t>XD</t>
  </si>
  <si>
    <t>GD</t>
  </si>
  <si>
    <t>System</t>
  </si>
  <si>
    <t>FD43</t>
  </si>
  <si>
    <t>FD44</t>
  </si>
  <si>
    <t>HT</t>
  </si>
  <si>
    <t>FT</t>
  </si>
  <si>
    <t>Gurte</t>
  </si>
  <si>
    <t>Hoch</t>
  </si>
  <si>
    <t>Breit</t>
  </si>
  <si>
    <t>Durchm.</t>
  </si>
  <si>
    <t>Wandst.</t>
  </si>
  <si>
    <t>Brace</t>
  </si>
  <si>
    <t>Trusspinn</t>
  </si>
  <si>
    <t>Material</t>
  </si>
  <si>
    <t>Gew.</t>
  </si>
  <si>
    <t>AlMgSi1F31</t>
  </si>
  <si>
    <t>AlMgSi0,5F22</t>
  </si>
  <si>
    <t>zulM</t>
  </si>
  <si>
    <t>zul.V</t>
  </si>
  <si>
    <r>
      <t>The "Load-calculator"</t>
    </r>
    <r>
      <rPr>
        <sz val="10"/>
        <rFont val="CommercialPi BT"/>
        <family val="1"/>
      </rPr>
      <t>c</t>
    </r>
  </si>
  <si>
    <t>ST</t>
  </si>
  <si>
    <t>Fitting</t>
  </si>
  <si>
    <t>BD</t>
  </si>
  <si>
    <t>FD</t>
  </si>
  <si>
    <t>XT</t>
  </si>
  <si>
    <t>Eurotruss</t>
  </si>
  <si>
    <t>Querschnitt</t>
  </si>
  <si>
    <t>L</t>
  </si>
  <si>
    <t>zul p(M)</t>
  </si>
  <si>
    <t>zul p(V)</t>
  </si>
  <si>
    <t>zul p</t>
  </si>
  <si>
    <t>zul p(+)</t>
  </si>
  <si>
    <t>zul p (kg/m)</t>
  </si>
  <si>
    <t>zul P</t>
  </si>
  <si>
    <t>copyright Michael Lück</t>
  </si>
  <si>
    <t>zulF(M)</t>
  </si>
  <si>
    <t>zulF(v)</t>
  </si>
  <si>
    <t>zulF</t>
  </si>
  <si>
    <t>zulF(kg)</t>
  </si>
  <si>
    <r>
      <t>The "Load-calculator"</t>
    </r>
    <r>
      <rPr>
        <sz val="12"/>
        <rFont val="CommercialPi BT"/>
        <family val="1"/>
      </rPr>
      <t>c</t>
    </r>
  </si>
  <si>
    <t>Geometry data</t>
  </si>
  <si>
    <t>Static data</t>
  </si>
  <si>
    <t>Choose your system</t>
  </si>
  <si>
    <t>available are</t>
  </si>
  <si>
    <t>Maintubes</t>
  </si>
  <si>
    <r>
      <t>Overall height</t>
    </r>
    <r>
      <rPr>
        <vertAlign val="superscript"/>
        <sz val="10"/>
        <rFont val="Arial"/>
        <family val="2"/>
      </rPr>
      <t>1)</t>
    </r>
  </si>
  <si>
    <r>
      <t>Overall width</t>
    </r>
    <r>
      <rPr>
        <vertAlign val="superscript"/>
        <sz val="10"/>
        <rFont val="Arial"/>
        <family val="2"/>
      </rPr>
      <t>1)</t>
    </r>
  </si>
  <si>
    <t>Fitting / Connection type</t>
  </si>
  <si>
    <t>Diameter maintube</t>
  </si>
  <si>
    <t>Wall maintubes</t>
  </si>
  <si>
    <t>Diameter brace</t>
  </si>
  <si>
    <t>Diameter trusspin</t>
  </si>
  <si>
    <t>material</t>
  </si>
  <si>
    <t xml:space="preserve">Selfweight </t>
  </si>
  <si>
    <r>
      <t>1)</t>
    </r>
    <r>
      <rPr>
        <sz val="10"/>
        <rFont val="Arial"/>
        <family val="0"/>
      </rPr>
      <t xml:space="preserve"> If the system is equiped with FT-Fittings, add 10mm</t>
    </r>
  </si>
  <si>
    <t>How to use</t>
  </si>
  <si>
    <t>1) Blue panels &gt;&gt; results</t>
  </si>
  <si>
    <t>2) Yellow panels &gt;&gt; input</t>
  </si>
  <si>
    <t>3) All calculations are based on a beam on two outer supports.</t>
  </si>
  <si>
    <t>4) All calculations are based on symetrical loads.</t>
  </si>
  <si>
    <t>5) All calculations are based on the discribed load-constellations, see pictures below. Centre pointloads like pic 1. Multiple singlepoint loads like pic 2. Distributed loads like pic 3.</t>
  </si>
  <si>
    <t>6) Permissible distributed loads for short Trusses are quite high. The have to be fixed close to the knot-points.</t>
  </si>
  <si>
    <r>
      <t>7) The deflections for multiple singlepoint loads can not be calculated with the "Load-calculator"</t>
    </r>
    <r>
      <rPr>
        <sz val="10"/>
        <rFont val="CommercialPi BT"/>
        <family val="1"/>
      </rPr>
      <t>c</t>
    </r>
  </si>
  <si>
    <t>8) FD32, FD42 and Exibitionline are not listed because the permissible load of such trusses depends on more parameters.</t>
  </si>
  <si>
    <r>
      <t xml:space="preserve">     depending on the "Load-calculator"</t>
    </r>
    <r>
      <rPr>
        <sz val="10"/>
        <rFont val="CommercialPi BT"/>
        <family val="1"/>
      </rPr>
      <t>c</t>
    </r>
  </si>
  <si>
    <t>Static</t>
  </si>
  <si>
    <t>Cross-section</t>
  </si>
  <si>
    <t>Centre maintube - COG</t>
  </si>
  <si>
    <t>Iy maintube</t>
  </si>
  <si>
    <t>Iy truss</t>
  </si>
  <si>
    <t>i maintube</t>
  </si>
  <si>
    <t>i truss</t>
  </si>
  <si>
    <t>Wy truss</t>
  </si>
  <si>
    <t>Allowable bending My</t>
  </si>
  <si>
    <t>Allowable shear Vz</t>
  </si>
  <si>
    <t>Span of truss</t>
  </si>
  <si>
    <t>permissible distributed load</t>
  </si>
  <si>
    <t>selfweight</t>
  </si>
  <si>
    <t>working load</t>
  </si>
  <si>
    <t>your single pointload</t>
  </si>
  <si>
    <t>your distributed load</t>
  </si>
  <si>
    <t>deflection</t>
  </si>
  <si>
    <t>Load</t>
  </si>
  <si>
    <t>Deflection</t>
  </si>
  <si>
    <t>choosen system</t>
  </si>
  <si>
    <t>without selfweight</t>
  </si>
  <si>
    <t>incl. selfweight</t>
  </si>
  <si>
    <t>defection not</t>
  </si>
  <si>
    <t>calculated</t>
  </si>
  <si>
    <t>System status:</t>
  </si>
  <si>
    <t>manifold pointloads</t>
  </si>
  <si>
    <t>each</t>
  </si>
  <si>
    <t>how many pointloads</t>
  </si>
  <si>
    <t>phone:0049-2520-9129211 / fax:0049-2520-9129213</t>
  </si>
  <si>
    <t>40 (30)</t>
  </si>
  <si>
    <t>10) The author is not liable for any outputdata. The author is not responsible for any harm or damage,</t>
  </si>
  <si>
    <t>9) Maximum Pointloads can cause damage in smal areas of the truss. Ask your dealer for instructions!</t>
  </si>
  <si>
    <t>Allowable point-pressure on 1 tube</t>
  </si>
  <si>
    <t>HD34</t>
  </si>
  <si>
    <t>HD44</t>
  </si>
  <si>
    <t>,XD,GD,HT,FT,ST,XT,HD34,HD44</t>
  </si>
  <si>
    <t>TD44</t>
  </si>
  <si>
    <t>TD35</t>
  </si>
  <si>
    <t>TT</t>
  </si>
  <si>
    <t>50 (30)</t>
  </si>
  <si>
    <t>FD25</t>
  </si>
  <si>
    <t>,FD25,FD33,FD34,FD43,FD44</t>
  </si>
  <si>
    <t>,TD44,TD35, TT</t>
  </si>
  <si>
    <t>V. - 12.0</t>
  </si>
</sst>
</file>

<file path=xl/styles.xml><?xml version="1.0" encoding="utf-8"?>
<styleSheet xmlns="http://schemas.openxmlformats.org/spreadsheetml/2006/main">
  <numFmts count="3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00"/>
    <numFmt numFmtId="188" formatCode="0.00000000000"/>
    <numFmt numFmtId="189" formatCode="0.0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22"/>
      <name val="Arial"/>
      <family val="2"/>
    </font>
    <font>
      <sz val="12"/>
      <name val="CommercialPi BT"/>
      <family val="1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20"/>
      <color indexed="10"/>
      <name val="Arial"/>
      <family val="2"/>
    </font>
    <font>
      <sz val="10"/>
      <name val="CommercialPi BT"/>
      <family val="1"/>
    </font>
    <font>
      <u val="single"/>
      <sz val="7.5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22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3.5"/>
      <name val="Arial"/>
      <family val="0"/>
    </font>
    <font>
      <sz val="8.25"/>
      <name val="Arial"/>
      <family val="2"/>
    </font>
    <font>
      <u val="single"/>
      <sz val="14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22"/>
      <color indexed="10"/>
      <name val="Arial"/>
      <family val="2"/>
    </font>
    <font>
      <sz val="22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2" borderId="0" xfId="0" applyFill="1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2" fontId="0" fillId="4" borderId="1" xfId="0" applyNumberFormat="1" applyFill="1" applyBorder="1" applyAlignment="1" applyProtection="1">
      <alignment/>
      <protection hidden="1"/>
    </xf>
    <xf numFmtId="2" fontId="0" fillId="4" borderId="3" xfId="0" applyNumberFormat="1" applyFill="1" applyBorder="1" applyAlignment="1" applyProtection="1">
      <alignment/>
      <protection hidden="1"/>
    </xf>
    <xf numFmtId="0" fontId="8" fillId="2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2" borderId="4" xfId="0" applyFill="1" applyBorder="1" applyAlignment="1" applyProtection="1">
      <alignment/>
      <protection hidden="1"/>
    </xf>
    <xf numFmtId="0" fontId="0" fillId="2" borderId="5" xfId="0" applyFill="1" applyBorder="1" applyAlignment="1" applyProtection="1">
      <alignment/>
      <protection hidden="1"/>
    </xf>
    <xf numFmtId="0" fontId="0" fillId="2" borderId="6" xfId="0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0" fontId="0" fillId="3" borderId="8" xfId="0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0" fillId="2" borderId="8" xfId="0" applyFill="1" applyBorder="1" applyAlignment="1" applyProtection="1">
      <alignment/>
      <protection hidden="1"/>
    </xf>
    <xf numFmtId="0" fontId="9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 horizontal="right"/>
      <protection hidden="1"/>
    </xf>
    <xf numFmtId="0" fontId="9" fillId="2" borderId="0" xfId="0" applyFont="1" applyFill="1" applyAlignment="1" applyProtection="1">
      <alignment/>
      <protection hidden="1"/>
    </xf>
    <xf numFmtId="0" fontId="7" fillId="2" borderId="8" xfId="0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/>
      <protection hidden="1"/>
    </xf>
    <xf numFmtId="0" fontId="9" fillId="2" borderId="7" xfId="0" applyFont="1" applyFill="1" applyBorder="1" applyAlignment="1" applyProtection="1">
      <alignment/>
      <protection hidden="1"/>
    </xf>
    <xf numFmtId="0" fontId="4" fillId="2" borderId="0" xfId="0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 horizontal="right"/>
      <protection hidden="1"/>
    </xf>
    <xf numFmtId="186" fontId="0" fillId="4" borderId="0" xfId="0" applyNumberFormat="1" applyFill="1" applyBorder="1" applyAlignment="1" applyProtection="1">
      <alignment/>
      <protection hidden="1"/>
    </xf>
    <xf numFmtId="189" fontId="0" fillId="4" borderId="0" xfId="0" applyNumberFormat="1" applyFill="1" applyBorder="1" applyAlignment="1" applyProtection="1">
      <alignment/>
      <protection hidden="1"/>
    </xf>
    <xf numFmtId="0" fontId="14" fillId="2" borderId="0" xfId="0" applyFont="1" applyFill="1" applyAlignment="1" applyProtection="1">
      <alignment/>
      <protection hidden="1"/>
    </xf>
    <xf numFmtId="0" fontId="15" fillId="2" borderId="0" xfId="0" applyFont="1" applyFill="1" applyBorder="1" applyAlignment="1" applyProtection="1">
      <alignment/>
      <protection hidden="1"/>
    </xf>
    <xf numFmtId="0" fontId="14" fillId="2" borderId="0" xfId="0" applyFont="1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/>
      <protection hidden="1"/>
    </xf>
    <xf numFmtId="2" fontId="0" fillId="2" borderId="1" xfId="0" applyNumberFormat="1" applyFill="1" applyBorder="1" applyAlignment="1" applyProtection="1">
      <alignment/>
      <protection hidden="1"/>
    </xf>
    <xf numFmtId="2" fontId="0" fillId="4" borderId="4" xfId="0" applyNumberFormat="1" applyFill="1" applyBorder="1" applyAlignment="1" applyProtection="1">
      <alignment/>
      <protection hidden="1"/>
    </xf>
    <xf numFmtId="0" fontId="13" fillId="2" borderId="8" xfId="0" applyFont="1" applyFill="1" applyBorder="1" applyAlignment="1" applyProtection="1">
      <alignment/>
      <protection hidden="1"/>
    </xf>
    <xf numFmtId="0" fontId="9" fillId="2" borderId="11" xfId="0" applyFont="1" applyFill="1" applyBorder="1" applyAlignment="1" applyProtection="1">
      <alignment/>
      <protection hidden="1"/>
    </xf>
    <xf numFmtId="0" fontId="0" fillId="2" borderId="11" xfId="0" applyFill="1" applyBorder="1" applyAlignment="1" applyProtection="1">
      <alignment/>
      <protection hidden="1"/>
    </xf>
    <xf numFmtId="0" fontId="0" fillId="2" borderId="12" xfId="0" applyFill="1" applyBorder="1" applyAlignment="1" applyProtection="1">
      <alignment/>
      <protection hidden="1"/>
    </xf>
    <xf numFmtId="0" fontId="8" fillId="2" borderId="1" xfId="0" applyFont="1" applyFill="1" applyBorder="1" applyAlignment="1" applyProtection="1">
      <alignment/>
      <protection hidden="1"/>
    </xf>
    <xf numFmtId="0" fontId="9" fillId="2" borderId="1" xfId="0" applyFont="1" applyFill="1" applyBorder="1" applyAlignment="1" applyProtection="1">
      <alignment/>
      <protection hidden="1"/>
    </xf>
    <xf numFmtId="0" fontId="9" fillId="2" borderId="13" xfId="0" applyFont="1" applyFill="1" applyBorder="1" applyAlignment="1" applyProtection="1">
      <alignment/>
      <protection hidden="1"/>
    </xf>
    <xf numFmtId="0" fontId="7" fillId="2" borderId="1" xfId="0" applyFont="1" applyFill="1" applyBorder="1" applyAlignment="1" applyProtection="1">
      <alignment/>
      <protection hidden="1"/>
    </xf>
    <xf numFmtId="0" fontId="4" fillId="2" borderId="1" xfId="0" applyFont="1" applyFill="1" applyBorder="1" applyAlignment="1" applyProtection="1">
      <alignment/>
      <protection hidden="1"/>
    </xf>
    <xf numFmtId="0" fontId="0" fillId="2" borderId="1" xfId="0" applyFont="1" applyFill="1" applyBorder="1" applyAlignment="1" applyProtection="1">
      <alignment/>
      <protection hidden="1"/>
    </xf>
    <xf numFmtId="0" fontId="0" fillId="2" borderId="14" xfId="0" applyFill="1" applyBorder="1" applyAlignment="1" applyProtection="1">
      <alignment/>
      <protection hidden="1"/>
    </xf>
    <xf numFmtId="0" fontId="11" fillId="2" borderId="3" xfId="0" applyFont="1" applyFill="1" applyBorder="1" applyAlignment="1" applyProtection="1">
      <alignment/>
      <protection hidden="1"/>
    </xf>
    <xf numFmtId="0" fontId="0" fillId="2" borderId="13" xfId="0" applyFill="1" applyBorder="1" applyAlignment="1" applyProtection="1">
      <alignment/>
      <protection hidden="1"/>
    </xf>
    <xf numFmtId="0" fontId="15" fillId="2" borderId="1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0" fillId="4" borderId="1" xfId="0" applyFont="1" applyFill="1" applyBorder="1" applyAlignment="1" applyProtection="1">
      <alignment/>
      <protection hidden="1"/>
    </xf>
    <xf numFmtId="0" fontId="0" fillId="5" borderId="1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0" fillId="2" borderId="15" xfId="0" applyFont="1" applyFill="1" applyBorder="1" applyAlignment="1" applyProtection="1">
      <alignment/>
      <protection hidden="1"/>
    </xf>
    <xf numFmtId="2" fontId="0" fillId="6" borderId="15" xfId="0" applyNumberFormat="1" applyFont="1" applyFill="1" applyBorder="1" applyAlignment="1" applyProtection="1">
      <alignment/>
      <protection hidden="1"/>
    </xf>
    <xf numFmtId="0" fontId="0" fillId="3" borderId="16" xfId="0" applyFont="1" applyFill="1" applyBorder="1" applyAlignment="1" applyProtection="1">
      <alignment/>
      <protection hidden="1"/>
    </xf>
    <xf numFmtId="2" fontId="0" fillId="4" borderId="4" xfId="0" applyNumberFormat="1" applyFont="1" applyFill="1" applyBorder="1" applyAlignment="1" applyProtection="1">
      <alignment/>
      <protection hidden="1"/>
    </xf>
    <xf numFmtId="0" fontId="0" fillId="2" borderId="6" xfId="0" applyFont="1" applyFill="1" applyBorder="1" applyAlignment="1" applyProtection="1">
      <alignment/>
      <protection hidden="1"/>
    </xf>
    <xf numFmtId="0" fontId="0" fillId="3" borderId="15" xfId="0" applyFont="1" applyFill="1" applyBorder="1" applyAlignment="1" applyProtection="1">
      <alignment/>
      <protection hidden="1"/>
    </xf>
    <xf numFmtId="2" fontId="0" fillId="4" borderId="3" xfId="0" applyNumberFormat="1" applyFont="1" applyFill="1" applyBorder="1" applyAlignment="1" applyProtection="1">
      <alignment/>
      <protection hidden="1"/>
    </xf>
    <xf numFmtId="0" fontId="0" fillId="2" borderId="9" xfId="0" applyFont="1" applyFill="1" applyBorder="1" applyAlignment="1" applyProtection="1">
      <alignment/>
      <protection hidden="1"/>
    </xf>
    <xf numFmtId="0" fontId="0" fillId="2" borderId="7" xfId="0" applyFont="1" applyFill="1" applyBorder="1" applyAlignment="1" applyProtection="1">
      <alignment/>
      <protection hidden="1"/>
    </xf>
    <xf numFmtId="0" fontId="13" fillId="2" borderId="4" xfId="0" applyFont="1" applyFill="1" applyBorder="1" applyAlignment="1" applyProtection="1">
      <alignment/>
      <protection hidden="1"/>
    </xf>
    <xf numFmtId="0" fontId="13" fillId="2" borderId="3" xfId="0" applyFont="1" applyFill="1" applyBorder="1" applyAlignment="1" applyProtection="1">
      <alignment/>
      <protection hidden="1"/>
    </xf>
    <xf numFmtId="0" fontId="9" fillId="2" borderId="7" xfId="0" applyFont="1" applyFill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7" fillId="2" borderId="0" xfId="16" applyFill="1" applyAlignment="1" applyProtection="1">
      <alignment/>
      <protection hidden="1"/>
    </xf>
    <xf numFmtId="0" fontId="19" fillId="2" borderId="1" xfId="0" applyFont="1" applyFill="1" applyBorder="1" applyAlignment="1" applyProtection="1">
      <alignment/>
      <protection hidden="1"/>
    </xf>
    <xf numFmtId="0" fontId="19" fillId="2" borderId="0" xfId="0" applyFont="1" applyFill="1" applyBorder="1" applyAlignment="1" applyProtection="1">
      <alignment/>
      <protection hidden="1"/>
    </xf>
    <xf numFmtId="0" fontId="19" fillId="2" borderId="7" xfId="0" applyFont="1" applyFill="1" applyBorder="1" applyAlignment="1" applyProtection="1">
      <alignment/>
      <protection hidden="1"/>
    </xf>
    <xf numFmtId="0" fontId="19" fillId="2" borderId="0" xfId="0" applyFont="1" applyFill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2" borderId="7" xfId="0" applyFont="1" applyFill="1" applyBorder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20" fillId="2" borderId="1" xfId="16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2" borderId="7" xfId="0" applyFont="1" applyFill="1" applyBorder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5" fillId="2" borderId="1" xfId="0" applyFont="1" applyFill="1" applyBorder="1" applyAlignment="1" applyProtection="1">
      <alignment/>
      <protection hidden="1"/>
    </xf>
    <xf numFmtId="0" fontId="9" fillId="7" borderId="0" xfId="0" applyNumberFormat="1" applyFont="1" applyFill="1" applyBorder="1" applyAlignment="1" applyProtection="1">
      <alignment/>
      <protection hidden="1" locked="0"/>
    </xf>
    <xf numFmtId="0" fontId="22" fillId="0" borderId="0" xfId="0" applyFont="1" applyAlignment="1" applyProtection="1">
      <alignment/>
      <protection hidden="1"/>
    </xf>
    <xf numFmtId="1" fontId="0" fillId="5" borderId="8" xfId="0" applyNumberFormat="1" applyFont="1" applyFill="1" applyBorder="1" applyAlignment="1" applyProtection="1">
      <alignment/>
      <protection locked="0"/>
    </xf>
    <xf numFmtId="1" fontId="10" fillId="5" borderId="5" xfId="0" applyNumberFormat="1" applyFont="1" applyFill="1" applyBorder="1" applyAlignment="1" applyProtection="1">
      <alignment/>
      <protection locked="0"/>
    </xf>
    <xf numFmtId="1" fontId="0" fillId="8" borderId="3" xfId="0" applyNumberFormat="1" applyFill="1" applyBorder="1" applyAlignment="1" applyProtection="1">
      <alignment/>
      <protection locked="0"/>
    </xf>
    <xf numFmtId="1" fontId="0" fillId="8" borderId="15" xfId="0" applyNumberFormat="1" applyFill="1" applyBorder="1" applyAlignment="1" applyProtection="1">
      <alignment/>
      <protection locked="0"/>
    </xf>
    <xf numFmtId="189" fontId="0" fillId="5" borderId="0" xfId="0" applyNumberFormat="1" applyFill="1" applyAlignment="1" applyProtection="1">
      <alignment/>
      <protection locked="0"/>
    </xf>
    <xf numFmtId="0" fontId="22" fillId="0" borderId="0" xfId="0" applyFont="1" applyAlignment="1">
      <alignment/>
    </xf>
    <xf numFmtId="0" fontId="15" fillId="2" borderId="0" xfId="0" applyFont="1" applyFill="1" applyAlignment="1" applyProtection="1">
      <alignment/>
      <protection hidden="1"/>
    </xf>
    <xf numFmtId="0" fontId="25" fillId="2" borderId="0" xfId="0" applyFont="1" applyFill="1" applyAlignment="1" applyProtection="1">
      <alignment/>
      <protection hidden="1"/>
    </xf>
    <xf numFmtId="0" fontId="25" fillId="2" borderId="1" xfId="0" applyFont="1" applyFill="1" applyBorder="1" applyAlignment="1" applyProtection="1">
      <alignment/>
      <protection hidden="1"/>
    </xf>
    <xf numFmtId="0" fontId="14" fillId="2" borderId="1" xfId="16" applyFont="1" applyFill="1" applyBorder="1" applyAlignment="1" applyProtection="1">
      <alignment/>
      <protection hidden="1"/>
    </xf>
    <xf numFmtId="0" fontId="14" fillId="2" borderId="0" xfId="0" applyFont="1" applyFill="1" applyAlignment="1">
      <alignment/>
    </xf>
    <xf numFmtId="0" fontId="1" fillId="2" borderId="1" xfId="0" applyFont="1" applyFill="1" applyBorder="1" applyAlignment="1" applyProtection="1">
      <alignment/>
      <protection hidden="1"/>
    </xf>
    <xf numFmtId="0" fontId="26" fillId="2" borderId="1" xfId="0" applyFont="1" applyFill="1" applyBorder="1" applyAlignment="1" applyProtection="1">
      <alignment/>
      <protection hidden="1"/>
    </xf>
    <xf numFmtId="0" fontId="13" fillId="2" borderId="2" xfId="0" applyFont="1" applyFill="1" applyBorder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28" fillId="2" borderId="2" xfId="0" applyFont="1" applyFill="1" applyBorder="1" applyAlignment="1" applyProtection="1">
      <alignment/>
      <protection hidden="1"/>
    </xf>
    <xf numFmtId="0" fontId="29" fillId="2" borderId="8" xfId="0" applyFont="1" applyFill="1" applyBorder="1" applyAlignment="1" applyProtection="1">
      <alignment/>
      <protection hidden="1"/>
    </xf>
    <xf numFmtId="0" fontId="13" fillId="3" borderId="1" xfId="0" applyFont="1" applyFill="1" applyBorder="1" applyAlignment="1" applyProtection="1">
      <alignment/>
      <protection hidden="1"/>
    </xf>
    <xf numFmtId="0" fontId="13" fillId="2" borderId="0" xfId="0" applyFont="1" applyFill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13" fillId="2" borderId="11" xfId="0" applyFont="1" applyFill="1" applyBorder="1" applyAlignment="1" applyProtection="1">
      <alignment/>
      <protection hidden="1"/>
    </xf>
    <xf numFmtId="0" fontId="30" fillId="2" borderId="1" xfId="0" applyFont="1" applyFill="1" applyBorder="1" applyAlignment="1" applyProtection="1">
      <alignment/>
      <protection hidden="1"/>
    </xf>
    <xf numFmtId="0" fontId="30" fillId="2" borderId="0" xfId="0" applyFont="1" applyFill="1" applyBorder="1" applyAlignment="1" applyProtection="1">
      <alignment/>
      <protection hidden="1"/>
    </xf>
    <xf numFmtId="0" fontId="30" fillId="2" borderId="0" xfId="0" applyFont="1" applyFill="1" applyAlignment="1" applyProtection="1">
      <alignment/>
      <protection hidden="1"/>
    </xf>
    <xf numFmtId="0" fontId="22" fillId="0" borderId="0" xfId="0" applyFont="1" applyFill="1" applyAlignment="1" applyProtection="1">
      <alignment/>
      <protection hidden="1"/>
    </xf>
    <xf numFmtId="0" fontId="22" fillId="0" borderId="0" xfId="0" applyFont="1" applyFill="1" applyAlignment="1" applyProtection="1">
      <alignment horizontal="right"/>
      <protection hidden="1"/>
    </xf>
    <xf numFmtId="0" fontId="22" fillId="0" borderId="0" xfId="0" applyFont="1" applyFill="1" applyBorder="1" applyAlignment="1" applyProtection="1">
      <alignment/>
      <protection hidden="1"/>
    </xf>
    <xf numFmtId="0" fontId="31" fillId="0" borderId="0" xfId="0" applyFont="1" applyFill="1" applyAlignment="1" applyProtection="1">
      <alignment/>
      <protection hidden="1"/>
    </xf>
    <xf numFmtId="0" fontId="31" fillId="0" borderId="0" xfId="0" applyFont="1" applyFill="1" applyAlignment="1" applyProtection="1">
      <alignment/>
      <protection hidden="1" locked="0"/>
    </xf>
    <xf numFmtId="0" fontId="31" fillId="0" borderId="0" xfId="0" applyFont="1" applyFill="1" applyAlignment="1" applyProtection="1">
      <alignment horizontal="right"/>
      <protection hidden="1"/>
    </xf>
    <xf numFmtId="0" fontId="11" fillId="2" borderId="7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10" fillId="2" borderId="7" xfId="0" applyFont="1" applyFill="1" applyBorder="1" applyAlignment="1" applyProtection="1">
      <alignment/>
      <protection hidden="1"/>
    </xf>
    <xf numFmtId="0" fontId="10" fillId="2" borderId="6" xfId="0" applyFont="1" applyFill="1" applyBorder="1" applyAlignment="1" applyProtection="1">
      <alignment/>
      <protection hidden="1"/>
    </xf>
    <xf numFmtId="0" fontId="10" fillId="2" borderId="16" xfId="0" applyFont="1" applyFill="1" applyBorder="1" applyAlignment="1" applyProtection="1">
      <alignment/>
      <protection hidden="1"/>
    </xf>
    <xf numFmtId="0" fontId="22" fillId="2" borderId="7" xfId="0" applyFont="1" applyFill="1" applyBorder="1" applyAlignment="1" applyProtection="1">
      <alignment/>
      <protection hidden="1"/>
    </xf>
    <xf numFmtId="0" fontId="22" fillId="2" borderId="6" xfId="0" applyFont="1" applyFill="1" applyBorder="1" applyAlignment="1" applyProtection="1">
      <alignment/>
      <protection hidden="1"/>
    </xf>
    <xf numFmtId="0" fontId="22" fillId="2" borderId="9" xfId="0" applyFont="1" applyFill="1" applyBorder="1" applyAlignment="1" applyProtection="1">
      <alignment/>
      <protection hidden="1"/>
    </xf>
    <xf numFmtId="0" fontId="11" fillId="2" borderId="12" xfId="0" applyFont="1" applyFill="1" applyBorder="1" applyAlignment="1" applyProtection="1">
      <alignment/>
      <protection hidden="1"/>
    </xf>
  </cellXfs>
  <cellStyles count="8">
    <cellStyle name="Normal" xfId="0"/>
    <cellStyle name="Besuchter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Status Maintube and connection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01"/>
          <c:y val="0.3335"/>
          <c:w val="0.6535"/>
          <c:h val="0.4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1"/>
              <c:pt idx="0">
                <c:v>used</c:v>
              </c:pt>
            </c:strLit>
          </c:cat>
          <c:val>
            <c:numRef>
              <c:f>Tabelle1!$J$36:$K$36</c:f>
              <c:numCache>
                <c:ptCount val="2"/>
                <c:pt idx="0">
                  <c:v>18.9625</c:v>
                </c:pt>
                <c:pt idx="1">
                  <c:v>22.6575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Status Brace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09625"/>
          <c:y val="0.3105"/>
          <c:w val="0.669"/>
          <c:h val="0.526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1"/>
              <c:pt idx="0">
                <c:v>used</c:v>
              </c:pt>
            </c:strLit>
          </c:cat>
          <c:val>
            <c:numRef>
              <c:f>Tabelle1!$J$37:$K$37</c:f>
              <c:numCache>
                <c:ptCount val="2"/>
                <c:pt idx="0">
                  <c:v>3.7925000000000004</c:v>
                </c:pt>
                <c:pt idx="1">
                  <c:v>23.0475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Characteristic for total load
distributed and single point in  (m and kg)</a:t>
            </a:r>
          </a:p>
        </c:rich>
      </c:tx>
      <c:layout>
        <c:manualLayout>
          <c:xMode val="factor"/>
          <c:yMode val="factor"/>
          <c:x val="-0.133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865"/>
          <c:w val="0.889"/>
          <c:h val="0.813"/>
        </c:manualLayout>
      </c:layout>
      <c:lineChart>
        <c:grouping val="standard"/>
        <c:varyColors val="0"/>
        <c:ser>
          <c:idx val="0"/>
          <c:order val="0"/>
          <c:tx>
            <c:v>Gleichlast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Tabelle2!$G$2:$G$41</c:f>
              <c:numCache>
                <c:ptCount val="40"/>
                <c:pt idx="0">
                  <c:v>5458.307849133537</c:v>
                </c:pt>
                <c:pt idx="1">
                  <c:v>5444.648318042813</c:v>
                </c:pt>
                <c:pt idx="2">
                  <c:v>5430.98878695209</c:v>
                </c:pt>
                <c:pt idx="3">
                  <c:v>5417.329255861366</c:v>
                </c:pt>
                <c:pt idx="4">
                  <c:v>5403.6697247706425</c:v>
                </c:pt>
                <c:pt idx="5">
                  <c:v>5390.010193679918</c:v>
                </c:pt>
                <c:pt idx="6">
                  <c:v>4753.07994757536</c:v>
                </c:pt>
                <c:pt idx="7">
                  <c:v>4133.333333333333</c:v>
                </c:pt>
                <c:pt idx="8">
                  <c:v>3648.2727375693735</c:v>
                </c:pt>
                <c:pt idx="9">
                  <c:v>3257.492354740061</c:v>
                </c:pt>
                <c:pt idx="10">
                  <c:v>2935.2793994995827</c:v>
                </c:pt>
                <c:pt idx="11">
                  <c:v>2664.4920149507307</c:v>
                </c:pt>
                <c:pt idx="12">
                  <c:v>2433.262761703128</c:v>
                </c:pt>
                <c:pt idx="13">
                  <c:v>2233.114897335081</c:v>
                </c:pt>
                <c:pt idx="14">
                  <c:v>2057.8321440706754</c:v>
                </c:pt>
                <c:pt idx="15">
                  <c:v>1902.7522935779812</c:v>
                </c:pt>
                <c:pt idx="16">
                  <c:v>1764.3101277208132</c:v>
                </c:pt>
                <c:pt idx="17">
                  <c:v>1639.732699059916</c:v>
                </c:pt>
                <c:pt idx="18">
                  <c:v>1526.8308385643004</c:v>
                </c:pt>
                <c:pt idx="19">
                  <c:v>1423.853211009174</c:v>
                </c:pt>
                <c:pt idx="20">
                  <c:v>1329.3820688316098</c:v>
                </c:pt>
                <c:pt idx="21">
                  <c:v>1242.2574367528493</c:v>
                </c:pt>
                <c:pt idx="22">
                  <c:v>1161.5210743252223</c:v>
                </c:pt>
                <c:pt idx="23">
                  <c:v>1086.3744478423378</c:v>
                </c:pt>
                <c:pt idx="24">
                  <c:v>1016.1467889908256</c:v>
                </c:pt>
                <c:pt idx="25">
                  <c:v>950.270524582451</c:v>
                </c:pt>
                <c:pt idx="26">
                  <c:v>888.2621663457546</c:v>
                </c:pt>
                <c:pt idx="27">
                  <c:v>829.7072957623416</c:v>
                </c:pt>
                <c:pt idx="28">
                  <c:v>774.2486554887693</c:v>
                </c:pt>
                <c:pt idx="29">
                  <c:v>721.5766224940536</c:v>
                </c:pt>
                <c:pt idx="30">
                  <c:v>671.4215251060472</c:v>
                </c:pt>
                <c:pt idx="31">
                  <c:v>623.5474006116206</c:v>
                </c:pt>
                <c:pt idx="32">
                  <c:v>577.746887838631</c:v>
                </c:pt>
                <c:pt idx="33">
                  <c:v>533.8370210469509</c:v>
                </c:pt>
                <c:pt idx="34">
                  <c:v>491.65574486675405</c:v>
                </c:pt>
                <c:pt idx="35">
                  <c:v>451.0590100804167</c:v>
                </c:pt>
                <c:pt idx="36">
                  <c:v>411.9183403587072</c:v>
                </c:pt>
                <c:pt idx="37">
                  <c:v>374.11878319652334</c:v>
                </c:pt>
                <c:pt idx="38">
                  <c:v>337.55717608928603</c:v>
                </c:pt>
                <c:pt idx="39">
                  <c:v>302.1406727828745</c:v>
                </c:pt>
              </c:numCache>
            </c:numRef>
          </c:val>
          <c:smooth val="0"/>
        </c:ser>
        <c:ser>
          <c:idx val="1"/>
          <c:order val="1"/>
          <c:tx>
            <c:v>Einzellast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Tabelle2!$L$2:$L$41</c:f>
              <c:numCache>
                <c:ptCount val="40"/>
                <c:pt idx="0">
                  <c:v>5458.307849133537</c:v>
                </c:pt>
                <c:pt idx="1">
                  <c:v>5444.648318042813</c:v>
                </c:pt>
                <c:pt idx="2">
                  <c:v>5430.98878695209</c:v>
                </c:pt>
                <c:pt idx="3">
                  <c:v>4215.290519877675</c:v>
                </c:pt>
                <c:pt idx="4">
                  <c:v>3359.9388379204893</c:v>
                </c:pt>
                <c:pt idx="5">
                  <c:v>2787.427794767244</c:v>
                </c:pt>
                <c:pt idx="6">
                  <c:v>2376.53997378768</c:v>
                </c:pt>
                <c:pt idx="7">
                  <c:v>2066.666666666666</c:v>
                </c:pt>
                <c:pt idx="8">
                  <c:v>1824.1363687846867</c:v>
                </c:pt>
                <c:pt idx="9">
                  <c:v>1628.7461773700304</c:v>
                </c:pt>
                <c:pt idx="10">
                  <c:v>1467.6396997497911</c:v>
                </c:pt>
                <c:pt idx="11">
                  <c:v>1332.246007475365</c:v>
                </c:pt>
                <c:pt idx="12">
                  <c:v>1216.6313808515642</c:v>
                </c:pt>
                <c:pt idx="13">
                  <c:v>1116.5574486675403</c:v>
                </c:pt>
                <c:pt idx="14">
                  <c:v>1028.9160720353382</c:v>
                </c:pt>
                <c:pt idx="15">
                  <c:v>951.3761467889906</c:v>
                </c:pt>
                <c:pt idx="16">
                  <c:v>882.1550638604065</c:v>
                </c:pt>
                <c:pt idx="17">
                  <c:v>819.8663495299581</c:v>
                </c:pt>
                <c:pt idx="18">
                  <c:v>763.4154192821501</c:v>
                </c:pt>
                <c:pt idx="19">
                  <c:v>711.926605504587</c:v>
                </c:pt>
                <c:pt idx="20">
                  <c:v>664.691034415805</c:v>
                </c:pt>
                <c:pt idx="21">
                  <c:v>621.1287183764248</c:v>
                </c:pt>
                <c:pt idx="22">
                  <c:v>580.7605371626112</c:v>
                </c:pt>
                <c:pt idx="23">
                  <c:v>543.1872239211688</c:v>
                </c:pt>
                <c:pt idx="24">
                  <c:v>508.0733944954128</c:v>
                </c:pt>
                <c:pt idx="25">
                  <c:v>475.13526229122556</c:v>
                </c:pt>
                <c:pt idx="26">
                  <c:v>444.13108317287725</c:v>
                </c:pt>
                <c:pt idx="27">
                  <c:v>414.85364788117073</c:v>
                </c:pt>
                <c:pt idx="28">
                  <c:v>387.12432774438463</c:v>
                </c:pt>
                <c:pt idx="29">
                  <c:v>360.78831124702674</c:v>
                </c:pt>
                <c:pt idx="30">
                  <c:v>335.7107625530235</c:v>
                </c:pt>
                <c:pt idx="31">
                  <c:v>311.77370030581034</c:v>
                </c:pt>
                <c:pt idx="32">
                  <c:v>288.8734439193154</c:v>
                </c:pt>
                <c:pt idx="33">
                  <c:v>266.9185105234754</c:v>
                </c:pt>
                <c:pt idx="34">
                  <c:v>245.82787243337694</c:v>
                </c:pt>
                <c:pt idx="35">
                  <c:v>225.52950504020833</c:v>
                </c:pt>
                <c:pt idx="36">
                  <c:v>205.95917017935363</c:v>
                </c:pt>
                <c:pt idx="37">
                  <c:v>187.05939159826167</c:v>
                </c:pt>
                <c:pt idx="38">
                  <c:v>168.77858804464302</c:v>
                </c:pt>
                <c:pt idx="39">
                  <c:v>151.07033639143728</c:v>
                </c:pt>
              </c:numCache>
            </c:numRef>
          </c:val>
          <c:smooth val="0"/>
        </c:ser>
        <c:axId val="43225380"/>
        <c:axId val="53484101"/>
      </c:lineChart>
      <c:catAx>
        <c:axId val="4322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484101"/>
        <c:crosses val="autoZero"/>
        <c:auto val="1"/>
        <c:lblOffset val="100"/>
        <c:tickLblSkip val="39"/>
        <c:noMultiLvlLbl val="0"/>
      </c:catAx>
      <c:valAx>
        <c:axId val="53484101"/>
        <c:scaling>
          <c:orientation val="minMax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225380"/>
        <c:crossesAt val="1"/>
        <c:crossBetween val="between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hyperlink" Target="http://www.eurotruss.nl/" TargetMode="External" /><Relationship Id="rId5" Type="http://schemas.openxmlformats.org/officeDocument/2006/relationships/hyperlink" Target="http://www.eurotruss.nl/" TargetMode="External" /><Relationship Id="rId6" Type="http://schemas.openxmlformats.org/officeDocument/2006/relationships/chart" Target="/xl/charts/chart3.xml" /><Relationship Id="rId7" Type="http://schemas.openxmlformats.org/officeDocument/2006/relationships/hyperlink" Target="http://www.eurotruss.nl/" TargetMode="External" /><Relationship Id="rId8" Type="http://schemas.openxmlformats.org/officeDocument/2006/relationships/hyperlink" Target="http://www.eurotruss.nl/" TargetMode="External" /><Relationship Id="rId9" Type="http://schemas.openxmlformats.org/officeDocument/2006/relationships/hyperlink" Target="http://www.eurotruss.nl/" TargetMode="External" /><Relationship Id="rId10" Type="http://schemas.openxmlformats.org/officeDocument/2006/relationships/hyperlink" Target="http://www.eurotruss.nl/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0.50975</cdr:x>
      <cdr:y>0.51575</cdr:y>
    </cdr:from>
    <cdr:to>
      <cdr:x>0.66</cdr:x>
      <cdr:y>0.5435</cdr:y>
    </cdr:to>
    <cdr:sp>
      <cdr:nvSpPr>
        <cdr:cNvPr id="1" name="TextBox 1"/>
        <cdr:cNvSpPr txBox="1">
          <a:spLocks noChangeArrowheads="1"/>
        </cdr:cNvSpPr>
      </cdr:nvSpPr>
      <cdr:spPr>
        <a:xfrm>
          <a:off x="1866900" y="1066800"/>
          <a:ext cx="552450" cy="57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gesamte verteilte Last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35</xdr:row>
      <xdr:rowOff>19050</xdr:rowOff>
    </xdr:from>
    <xdr:to>
      <xdr:col>9</xdr:col>
      <xdr:colOff>647700</xdr:colOff>
      <xdr:row>47</xdr:row>
      <xdr:rowOff>0</xdr:rowOff>
    </xdr:to>
    <xdr:graphicFrame>
      <xdr:nvGraphicFramePr>
        <xdr:cNvPr id="1" name="Chart 7"/>
        <xdr:cNvGraphicFramePr/>
      </xdr:nvGraphicFramePr>
      <xdr:xfrm>
        <a:off x="7629525" y="6448425"/>
        <a:ext cx="228600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647700</xdr:colOff>
      <xdr:row>35</xdr:row>
      <xdr:rowOff>19050</xdr:rowOff>
    </xdr:from>
    <xdr:to>
      <xdr:col>13</xdr:col>
      <xdr:colOff>733425</xdr:colOff>
      <xdr:row>47</xdr:row>
      <xdr:rowOff>0</xdr:rowOff>
    </xdr:to>
    <xdr:graphicFrame>
      <xdr:nvGraphicFramePr>
        <xdr:cNvPr id="2" name="Chart 11"/>
        <xdr:cNvGraphicFramePr/>
      </xdr:nvGraphicFramePr>
      <xdr:xfrm>
        <a:off x="9915525" y="6448425"/>
        <a:ext cx="233362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57150</xdr:rowOff>
    </xdr:from>
    <xdr:to>
      <xdr:col>2</xdr:col>
      <xdr:colOff>371475</xdr:colOff>
      <xdr:row>10</xdr:row>
      <xdr:rowOff>95250</xdr:rowOff>
    </xdr:to>
    <xdr:pic>
      <xdr:nvPicPr>
        <xdr:cNvPr id="3" name="Bild 16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7150"/>
          <a:ext cx="29622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266700</xdr:colOff>
      <xdr:row>17</xdr:row>
      <xdr:rowOff>190500</xdr:rowOff>
    </xdr:from>
    <xdr:ext cx="85725" cy="200025"/>
    <xdr:sp>
      <xdr:nvSpPr>
        <xdr:cNvPr id="4" name="TextBox 31"/>
        <xdr:cNvSpPr txBox="1">
          <a:spLocks noChangeArrowheads="1"/>
        </xdr:cNvSpPr>
      </xdr:nvSpPr>
      <xdr:spPr>
        <a:xfrm>
          <a:off x="2171700" y="3238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9525</xdr:colOff>
      <xdr:row>36</xdr:row>
      <xdr:rowOff>28575</xdr:rowOff>
    </xdr:from>
    <xdr:to>
      <xdr:col>7</xdr:col>
      <xdr:colOff>485775</xdr:colOff>
      <xdr:row>47</xdr:row>
      <xdr:rowOff>123825</xdr:rowOff>
    </xdr:to>
    <xdr:graphicFrame>
      <xdr:nvGraphicFramePr>
        <xdr:cNvPr id="5" name="Chart 82"/>
        <xdr:cNvGraphicFramePr/>
      </xdr:nvGraphicFramePr>
      <xdr:xfrm>
        <a:off x="3914775" y="6619875"/>
        <a:ext cx="3667125" cy="2085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4</xdr:col>
      <xdr:colOff>76200</xdr:colOff>
      <xdr:row>0</xdr:row>
      <xdr:rowOff>28575</xdr:rowOff>
    </xdr:from>
    <xdr:to>
      <xdr:col>6</xdr:col>
      <xdr:colOff>628650</xdr:colOff>
      <xdr:row>10</xdr:row>
      <xdr:rowOff>104775</xdr:rowOff>
    </xdr:to>
    <xdr:pic>
      <xdr:nvPicPr>
        <xdr:cNvPr id="6" name="Bild 16">
          <a:hlinkClick r:id="rId8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81450" y="28575"/>
          <a:ext cx="30289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0</xdr:row>
      <xdr:rowOff>28575</xdr:rowOff>
    </xdr:from>
    <xdr:to>
      <xdr:col>11</xdr:col>
      <xdr:colOff>323850</xdr:colOff>
      <xdr:row>10</xdr:row>
      <xdr:rowOff>114300</xdr:rowOff>
    </xdr:to>
    <xdr:pic>
      <xdr:nvPicPr>
        <xdr:cNvPr id="7" name="Bild 16">
          <a:hlinkClick r:id="rId10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28575"/>
          <a:ext cx="30289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xpo-engineering.de/" TargetMode="External" /><Relationship Id="rId2" Type="http://schemas.openxmlformats.org/officeDocument/2006/relationships/hyperlink" Target="http://www.expo-engineering.de/" TargetMode="External" /><Relationship Id="rId3" Type="http://schemas.openxmlformats.org/officeDocument/2006/relationships/hyperlink" Target="http://www.expo-engineering.de/" TargetMode="External" /><Relationship Id="rId4" Type="http://schemas.openxmlformats.org/officeDocument/2006/relationships/oleObject" Target="../embeddings/oleObject_1_0.bin" /><Relationship Id="rId5" Type="http://schemas.openxmlformats.org/officeDocument/2006/relationships/oleObject" Target="../embeddings/oleObject_1_1.bin" /><Relationship Id="rId6" Type="http://schemas.openxmlformats.org/officeDocument/2006/relationships/oleObject" Target="../embeddings/oleObject_1_2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7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s="91" t="s">
        <v>55</v>
      </c>
    </row>
  </sheetData>
  <sheetProtection password="DC49" sheet="1" objects="1" scenarios="1"/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0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2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3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4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5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6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AJ105"/>
  <sheetViews>
    <sheetView tabSelected="1" zoomScale="92" zoomScaleNormal="92" workbookViewId="0" topLeftCell="A7">
      <selection activeCell="A12" sqref="A12:O51"/>
    </sheetView>
  </sheetViews>
  <sheetFormatPr defaultColWidth="9.140625" defaultRowHeight="12.75"/>
  <cols>
    <col min="1" max="1" width="28.57421875" style="10" customWidth="1"/>
    <col min="2" max="2" width="11.57421875" style="10" customWidth="1"/>
    <col min="3" max="3" width="13.7109375" style="10" customWidth="1"/>
    <col min="4" max="4" width="4.7109375" style="10" customWidth="1"/>
    <col min="5" max="5" width="28.140625" style="10" customWidth="1"/>
    <col min="6" max="6" width="9.00390625" style="10" customWidth="1"/>
    <col min="7" max="7" width="10.7109375" style="10" customWidth="1"/>
    <col min="8" max="8" width="7.7109375" style="10" customWidth="1"/>
    <col min="9" max="9" width="24.8515625" style="10" customWidth="1"/>
    <col min="10" max="10" width="10.7109375" style="10" customWidth="1"/>
    <col min="11" max="11" width="5.7109375" style="10" customWidth="1"/>
    <col min="12" max="12" width="11.57421875" style="10" customWidth="1"/>
    <col min="13" max="13" width="5.7109375" style="10" customWidth="1"/>
    <col min="14" max="14" width="11.57421875" style="10" customWidth="1"/>
    <col min="15" max="15" width="5.7109375" style="10" customWidth="1"/>
    <col min="16" max="23" width="11.57421875" style="10" customWidth="1"/>
    <col min="24" max="24" width="13.00390625" style="10" customWidth="1"/>
    <col min="25" max="16384" width="11.57421875" style="10" customWidth="1"/>
  </cols>
  <sheetData>
    <row r="1" spans="1:36" ht="12.75">
      <c r="A1" s="14"/>
      <c r="B1" s="1"/>
      <c r="C1" s="1"/>
      <c r="D1" s="15"/>
      <c r="E1" s="1"/>
      <c r="F1" s="1"/>
      <c r="G1" s="1"/>
      <c r="H1" s="15"/>
      <c r="I1" s="1"/>
      <c r="J1" s="1"/>
      <c r="K1" s="1"/>
      <c r="L1" s="1"/>
      <c r="M1" s="1"/>
      <c r="N1" s="104"/>
      <c r="O1" s="117"/>
      <c r="P1" s="111" t="s">
        <v>22</v>
      </c>
      <c r="Q1" s="111" t="s">
        <v>27</v>
      </c>
      <c r="R1" s="111" t="s">
        <v>28</v>
      </c>
      <c r="S1" s="111" t="s">
        <v>29</v>
      </c>
      <c r="T1" s="111" t="s">
        <v>30</v>
      </c>
      <c r="U1" s="111" t="s">
        <v>31</v>
      </c>
      <c r="V1" s="111" t="s">
        <v>32</v>
      </c>
      <c r="W1" s="111" t="s">
        <v>33</v>
      </c>
      <c r="X1" s="111" t="s">
        <v>34</v>
      </c>
      <c r="Y1" s="111" t="s">
        <v>35</v>
      </c>
      <c r="Z1" s="111" t="s">
        <v>38</v>
      </c>
      <c r="AA1" s="111" t="s">
        <v>39</v>
      </c>
      <c r="AB1" s="112" t="s">
        <v>42</v>
      </c>
      <c r="AC1" s="111"/>
      <c r="AD1" s="111"/>
      <c r="AE1" s="85"/>
      <c r="AF1" s="105"/>
      <c r="AG1" s="105"/>
      <c r="AH1" s="105"/>
      <c r="AI1" s="85"/>
      <c r="AJ1" s="85"/>
    </row>
    <row r="2" spans="1:36" ht="12.75">
      <c r="A2" s="14"/>
      <c r="B2" s="1"/>
      <c r="C2" s="1"/>
      <c r="D2" s="15"/>
      <c r="E2" s="1"/>
      <c r="F2" s="1"/>
      <c r="G2" s="1"/>
      <c r="H2" s="15"/>
      <c r="I2" s="1"/>
      <c r="J2" s="1"/>
      <c r="K2" s="1"/>
      <c r="L2" s="1"/>
      <c r="M2" s="1"/>
      <c r="N2" s="104"/>
      <c r="O2" s="117">
        <v>1</v>
      </c>
      <c r="P2" s="111" t="s">
        <v>126</v>
      </c>
      <c r="Q2" s="111">
        <v>3</v>
      </c>
      <c r="R2" s="111">
        <v>223</v>
      </c>
      <c r="S2" s="111">
        <v>250</v>
      </c>
      <c r="T2" s="111">
        <v>50</v>
      </c>
      <c r="U2" s="111">
        <v>1.5</v>
      </c>
      <c r="V2" s="111">
        <v>12</v>
      </c>
      <c r="W2" s="111">
        <v>12</v>
      </c>
      <c r="X2" s="111" t="s">
        <v>37</v>
      </c>
      <c r="Y2" s="111">
        <v>0.035</v>
      </c>
      <c r="Z2" s="111">
        <v>1.96</v>
      </c>
      <c r="AA2" s="111">
        <v>4.34</v>
      </c>
      <c r="AB2" s="112" t="s">
        <v>43</v>
      </c>
      <c r="AC2" s="111"/>
      <c r="AD2" s="111"/>
      <c r="AE2" s="85"/>
      <c r="AF2" s="105"/>
      <c r="AG2" s="105"/>
      <c r="AH2" s="105"/>
      <c r="AI2" s="85"/>
      <c r="AJ2" s="85"/>
    </row>
    <row r="3" spans="1:36" ht="12.75">
      <c r="A3" s="14"/>
      <c r="B3" s="1"/>
      <c r="C3" s="1"/>
      <c r="D3" s="15"/>
      <c r="E3" s="1"/>
      <c r="F3" s="1"/>
      <c r="G3" s="1"/>
      <c r="H3" s="15"/>
      <c r="I3" s="1"/>
      <c r="J3" s="1"/>
      <c r="K3" s="1"/>
      <c r="L3" s="1"/>
      <c r="M3" s="1"/>
      <c r="N3" s="104"/>
      <c r="O3" s="117">
        <v>2</v>
      </c>
      <c r="P3" s="111" t="s">
        <v>19</v>
      </c>
      <c r="Q3" s="111">
        <v>3</v>
      </c>
      <c r="R3" s="111">
        <v>257.5</v>
      </c>
      <c r="S3" s="111">
        <v>290</v>
      </c>
      <c r="T3" s="111">
        <v>50</v>
      </c>
      <c r="U3" s="111">
        <v>2</v>
      </c>
      <c r="V3" s="111">
        <v>20</v>
      </c>
      <c r="W3" s="111">
        <v>12</v>
      </c>
      <c r="X3" s="111" t="s">
        <v>36</v>
      </c>
      <c r="Y3" s="111">
        <v>0.044</v>
      </c>
      <c r="Z3" s="113">
        <v>4.38</v>
      </c>
      <c r="AA3" s="113">
        <v>10.1</v>
      </c>
      <c r="AB3" s="112" t="s">
        <v>44</v>
      </c>
      <c r="AC3" s="111"/>
      <c r="AD3" s="111"/>
      <c r="AE3" s="85"/>
      <c r="AF3" s="105"/>
      <c r="AG3" s="105"/>
      <c r="AH3" s="105"/>
      <c r="AI3" s="85"/>
      <c r="AJ3" s="85"/>
    </row>
    <row r="4" spans="1:36" ht="12.75">
      <c r="A4" s="14"/>
      <c r="B4" s="1"/>
      <c r="C4" s="1"/>
      <c r="D4" s="15"/>
      <c r="E4" s="1"/>
      <c r="F4" s="1"/>
      <c r="G4" s="1"/>
      <c r="H4" s="15"/>
      <c r="I4" s="1"/>
      <c r="J4" s="1"/>
      <c r="K4" s="1"/>
      <c r="L4" s="1"/>
      <c r="M4" s="1"/>
      <c r="N4" s="104"/>
      <c r="O4" s="117">
        <v>3</v>
      </c>
      <c r="P4" s="111" t="s">
        <v>18</v>
      </c>
      <c r="Q4" s="111">
        <v>4</v>
      </c>
      <c r="R4" s="111">
        <v>290</v>
      </c>
      <c r="S4" s="111">
        <v>290</v>
      </c>
      <c r="T4" s="111">
        <v>50</v>
      </c>
      <c r="U4" s="111">
        <v>2</v>
      </c>
      <c r="V4" s="111">
        <v>20</v>
      </c>
      <c r="W4" s="111">
        <v>12</v>
      </c>
      <c r="X4" s="111" t="s">
        <v>36</v>
      </c>
      <c r="Y4" s="111">
        <v>0.058</v>
      </c>
      <c r="Z4" s="113">
        <v>10.1</v>
      </c>
      <c r="AA4" s="113">
        <v>11.6</v>
      </c>
      <c r="AB4" s="112" t="s">
        <v>44</v>
      </c>
      <c r="AC4" s="111"/>
      <c r="AD4" s="111"/>
      <c r="AE4" s="85"/>
      <c r="AF4" s="105"/>
      <c r="AG4" s="105"/>
      <c r="AH4" s="105"/>
      <c r="AI4" s="85"/>
      <c r="AJ4" s="85"/>
    </row>
    <row r="5" spans="1:36" ht="12.75">
      <c r="A5" s="14"/>
      <c r="B5" s="1"/>
      <c r="C5" s="1"/>
      <c r="D5" s="15"/>
      <c r="E5" s="1"/>
      <c r="F5" s="1"/>
      <c r="G5" s="1"/>
      <c r="H5" s="15"/>
      <c r="I5" s="1"/>
      <c r="J5" s="1"/>
      <c r="K5" s="1"/>
      <c r="L5" s="1"/>
      <c r="M5" s="1"/>
      <c r="N5" s="104"/>
      <c r="O5" s="117">
        <v>4</v>
      </c>
      <c r="P5" s="111" t="s">
        <v>23</v>
      </c>
      <c r="Q5" s="111">
        <v>3</v>
      </c>
      <c r="R5" s="111">
        <v>353</v>
      </c>
      <c r="S5" s="111">
        <v>400</v>
      </c>
      <c r="T5" s="111">
        <v>50</v>
      </c>
      <c r="U5" s="111">
        <v>2</v>
      </c>
      <c r="V5" s="111">
        <v>25</v>
      </c>
      <c r="W5" s="111">
        <v>12</v>
      </c>
      <c r="X5" s="111" t="s">
        <v>36</v>
      </c>
      <c r="Y5" s="111">
        <v>0.047</v>
      </c>
      <c r="Z5" s="113">
        <v>6.4</v>
      </c>
      <c r="AA5" s="113">
        <v>12.9</v>
      </c>
      <c r="AB5" s="112" t="s">
        <v>44</v>
      </c>
      <c r="AC5" s="111"/>
      <c r="AD5" s="111"/>
      <c r="AE5" s="85"/>
      <c r="AF5" s="105"/>
      <c r="AG5" s="105"/>
      <c r="AH5" s="105"/>
      <c r="AI5" s="85"/>
      <c r="AJ5" s="85"/>
    </row>
    <row r="6" spans="1:36" ht="12.75">
      <c r="A6" s="14"/>
      <c r="B6" s="1"/>
      <c r="C6" s="1"/>
      <c r="D6" s="15"/>
      <c r="E6" s="1"/>
      <c r="F6" s="1"/>
      <c r="G6" s="1"/>
      <c r="H6" s="15"/>
      <c r="I6" s="71"/>
      <c r="J6" s="1"/>
      <c r="K6" s="1"/>
      <c r="L6" s="1"/>
      <c r="M6" s="1"/>
      <c r="N6" s="104"/>
      <c r="O6" s="117">
        <v>5</v>
      </c>
      <c r="P6" s="111" t="s">
        <v>24</v>
      </c>
      <c r="Q6" s="111">
        <v>4</v>
      </c>
      <c r="R6" s="111">
        <v>400</v>
      </c>
      <c r="S6" s="111">
        <v>400</v>
      </c>
      <c r="T6" s="111">
        <v>50</v>
      </c>
      <c r="U6" s="111">
        <v>2</v>
      </c>
      <c r="V6" s="111">
        <v>25</v>
      </c>
      <c r="W6" s="111">
        <v>12</v>
      </c>
      <c r="X6" s="111" t="s">
        <v>36</v>
      </c>
      <c r="Y6" s="111">
        <v>0.065</v>
      </c>
      <c r="Z6" s="113">
        <v>14.8</v>
      </c>
      <c r="AA6" s="113">
        <v>14.9</v>
      </c>
      <c r="AB6" s="112" t="s">
        <v>44</v>
      </c>
      <c r="AC6" s="111"/>
      <c r="AD6" s="111"/>
      <c r="AE6" s="85"/>
      <c r="AF6" s="105"/>
      <c r="AG6" s="105"/>
      <c r="AH6" s="105"/>
      <c r="AI6" s="85"/>
      <c r="AJ6" s="85"/>
    </row>
    <row r="7" spans="1:36" ht="12.75">
      <c r="A7" s="14"/>
      <c r="B7" s="1"/>
      <c r="C7" s="1"/>
      <c r="D7" s="15"/>
      <c r="E7" s="1"/>
      <c r="F7" s="1"/>
      <c r="G7" s="1"/>
      <c r="H7" s="15"/>
      <c r="I7" s="1"/>
      <c r="J7" s="1"/>
      <c r="K7" s="1"/>
      <c r="L7" s="1"/>
      <c r="M7" s="1"/>
      <c r="N7" s="104"/>
      <c r="O7" s="117">
        <v>6</v>
      </c>
      <c r="P7" s="111" t="s">
        <v>20</v>
      </c>
      <c r="Q7" s="111">
        <v>4</v>
      </c>
      <c r="R7" s="111">
        <v>400</v>
      </c>
      <c r="S7" s="111">
        <v>290</v>
      </c>
      <c r="T7" s="111">
        <v>50</v>
      </c>
      <c r="U7" s="111">
        <v>3</v>
      </c>
      <c r="V7" s="111">
        <v>25</v>
      </c>
      <c r="W7" s="111">
        <v>16</v>
      </c>
      <c r="X7" s="111" t="s">
        <v>36</v>
      </c>
      <c r="Y7" s="111">
        <v>0.085</v>
      </c>
      <c r="Z7" s="113">
        <v>27</v>
      </c>
      <c r="AA7" s="113">
        <v>21.29</v>
      </c>
      <c r="AB7" s="112" t="s">
        <v>20</v>
      </c>
      <c r="AC7" s="111"/>
      <c r="AD7" s="111"/>
      <c r="AE7" s="85"/>
      <c r="AF7" s="105"/>
      <c r="AG7" s="105"/>
      <c r="AH7" s="105"/>
      <c r="AI7" s="85"/>
      <c r="AJ7" s="85"/>
    </row>
    <row r="8" spans="1:36" ht="15">
      <c r="A8" s="44"/>
      <c r="B8" s="1"/>
      <c r="C8" s="1"/>
      <c r="D8" s="15"/>
      <c r="E8" s="9"/>
      <c r="F8" s="71"/>
      <c r="G8" s="1"/>
      <c r="H8" s="15"/>
      <c r="I8" s="9"/>
      <c r="J8" s="1"/>
      <c r="K8" s="1"/>
      <c r="L8" s="1"/>
      <c r="M8" s="1"/>
      <c r="N8" s="104"/>
      <c r="O8" s="117">
        <v>7</v>
      </c>
      <c r="P8" s="111" t="s">
        <v>21</v>
      </c>
      <c r="Q8" s="111">
        <v>4</v>
      </c>
      <c r="R8" s="111">
        <v>400</v>
      </c>
      <c r="S8" s="111">
        <v>400</v>
      </c>
      <c r="T8" s="111">
        <v>50</v>
      </c>
      <c r="U8" s="111">
        <v>3</v>
      </c>
      <c r="V8" s="111">
        <v>25</v>
      </c>
      <c r="W8" s="111">
        <v>16</v>
      </c>
      <c r="X8" s="111" t="s">
        <v>36</v>
      </c>
      <c r="Y8" s="111">
        <v>0.096</v>
      </c>
      <c r="Z8" s="113">
        <v>27</v>
      </c>
      <c r="AA8" s="113">
        <v>21.29</v>
      </c>
      <c r="AB8" s="112" t="s">
        <v>20</v>
      </c>
      <c r="AC8" s="111"/>
      <c r="AD8" s="111"/>
      <c r="AE8" s="85"/>
      <c r="AF8" s="105"/>
      <c r="AG8" s="105"/>
      <c r="AH8" s="105"/>
      <c r="AI8" s="85"/>
      <c r="AJ8" s="85"/>
    </row>
    <row r="9" spans="1:36" ht="15">
      <c r="A9" s="44"/>
      <c r="B9" s="1"/>
      <c r="C9" s="1"/>
      <c r="D9" s="15"/>
      <c r="E9" s="9"/>
      <c r="F9" s="1"/>
      <c r="G9" s="1"/>
      <c r="H9" s="15"/>
      <c r="I9" s="9"/>
      <c r="J9" s="71"/>
      <c r="K9" s="1"/>
      <c r="L9" s="1"/>
      <c r="M9" s="1"/>
      <c r="N9" s="104"/>
      <c r="O9" s="117">
        <v>8</v>
      </c>
      <c r="P9" s="111" t="s">
        <v>25</v>
      </c>
      <c r="Q9" s="111">
        <v>3</v>
      </c>
      <c r="R9" s="111">
        <v>500.3</v>
      </c>
      <c r="S9" s="111">
        <v>570</v>
      </c>
      <c r="T9" s="111">
        <v>50</v>
      </c>
      <c r="U9" s="111">
        <v>4</v>
      </c>
      <c r="V9" s="111">
        <v>25</v>
      </c>
      <c r="W9" s="111">
        <v>16</v>
      </c>
      <c r="X9" s="111" t="s">
        <v>36</v>
      </c>
      <c r="Y9" s="111">
        <v>0.092</v>
      </c>
      <c r="Z9" s="113">
        <v>20.8</v>
      </c>
      <c r="AA9" s="113">
        <v>16.25</v>
      </c>
      <c r="AB9" s="112" t="s">
        <v>20</v>
      </c>
      <c r="AC9" s="111"/>
      <c r="AD9" s="111"/>
      <c r="AE9" s="85"/>
      <c r="AF9" s="105"/>
      <c r="AG9" s="105"/>
      <c r="AH9" s="105"/>
      <c r="AI9" s="85"/>
      <c r="AJ9" s="85"/>
    </row>
    <row r="10" spans="1:36" ht="15">
      <c r="A10" s="1"/>
      <c r="B10" s="26"/>
      <c r="C10" s="26"/>
      <c r="D10" s="27"/>
      <c r="E10" s="1"/>
      <c r="F10" s="26"/>
      <c r="G10" s="26"/>
      <c r="H10" s="27"/>
      <c r="I10" s="1"/>
      <c r="J10" s="23"/>
      <c r="K10" s="23"/>
      <c r="L10" s="23"/>
      <c r="M10" s="23"/>
      <c r="N10" s="104"/>
      <c r="O10" s="117">
        <v>9</v>
      </c>
      <c r="P10" s="111" t="s">
        <v>26</v>
      </c>
      <c r="Q10" s="111">
        <v>4</v>
      </c>
      <c r="R10" s="111">
        <v>520</v>
      </c>
      <c r="S10" s="111">
        <v>570</v>
      </c>
      <c r="T10" s="111">
        <v>50</v>
      </c>
      <c r="U10" s="111">
        <v>4</v>
      </c>
      <c r="V10" s="111">
        <v>25</v>
      </c>
      <c r="W10" s="111">
        <v>16</v>
      </c>
      <c r="X10" s="111" t="s">
        <v>36</v>
      </c>
      <c r="Y10" s="111">
        <v>0.133</v>
      </c>
      <c r="Z10" s="113">
        <v>37.5</v>
      </c>
      <c r="AA10" s="113">
        <v>17</v>
      </c>
      <c r="AB10" s="112" t="s">
        <v>26</v>
      </c>
      <c r="AC10" s="111"/>
      <c r="AD10" s="111"/>
      <c r="AE10" s="85"/>
      <c r="AF10" s="105"/>
      <c r="AG10" s="105"/>
      <c r="AH10" s="105"/>
      <c r="AI10" s="85"/>
      <c r="AJ10" s="85"/>
    </row>
    <row r="11" spans="1:36" ht="15">
      <c r="A11" s="45"/>
      <c r="B11" s="26"/>
      <c r="C11" s="26"/>
      <c r="D11" s="27"/>
      <c r="E11" s="25"/>
      <c r="F11" s="26"/>
      <c r="G11" s="26"/>
      <c r="H11" s="27"/>
      <c r="I11" s="21"/>
      <c r="J11" s="23"/>
      <c r="K11" s="23"/>
      <c r="L11" s="23"/>
      <c r="M11" s="23"/>
      <c r="N11" s="104"/>
      <c r="O11" s="117">
        <v>10</v>
      </c>
      <c r="P11" s="111" t="s">
        <v>41</v>
      </c>
      <c r="Q11" s="111">
        <v>4</v>
      </c>
      <c r="R11" s="111">
        <v>500</v>
      </c>
      <c r="S11" s="111">
        <v>500</v>
      </c>
      <c r="T11" s="111">
        <v>50</v>
      </c>
      <c r="U11" s="111">
        <v>4</v>
      </c>
      <c r="V11" s="111">
        <v>30</v>
      </c>
      <c r="W11" s="111">
        <v>16</v>
      </c>
      <c r="X11" s="111" t="s">
        <v>36</v>
      </c>
      <c r="Y11" s="111">
        <v>0.134</v>
      </c>
      <c r="Z11" s="113">
        <v>41.62</v>
      </c>
      <c r="AA11" s="113">
        <v>26.84</v>
      </c>
      <c r="AB11" s="112" t="s">
        <v>26</v>
      </c>
      <c r="AC11" s="111"/>
      <c r="AD11" s="111"/>
      <c r="AE11" s="85"/>
      <c r="AF11" s="105"/>
      <c r="AG11" s="105"/>
      <c r="AH11" s="105"/>
      <c r="AI11" s="85"/>
      <c r="AJ11" s="85"/>
    </row>
    <row r="12" spans="1:36" ht="15">
      <c r="A12" s="45" t="s">
        <v>60</v>
      </c>
      <c r="B12" s="26"/>
      <c r="C12" s="26"/>
      <c r="D12" s="27"/>
      <c r="E12" s="25" t="s">
        <v>60</v>
      </c>
      <c r="F12" s="26"/>
      <c r="G12" s="26"/>
      <c r="H12" s="27"/>
      <c r="I12" s="21" t="s">
        <v>60</v>
      </c>
      <c r="J12" s="23"/>
      <c r="K12" s="23"/>
      <c r="L12" s="23"/>
      <c r="M12" s="23"/>
      <c r="N12" s="104"/>
      <c r="O12" s="117">
        <v>11</v>
      </c>
      <c r="P12" s="111" t="s">
        <v>45</v>
      </c>
      <c r="Q12" s="111">
        <v>4</v>
      </c>
      <c r="R12" s="111">
        <v>800</v>
      </c>
      <c r="S12" s="111">
        <v>570</v>
      </c>
      <c r="T12" s="111">
        <v>50</v>
      </c>
      <c r="U12" s="111">
        <v>4</v>
      </c>
      <c r="V12" s="112" t="s">
        <v>115</v>
      </c>
      <c r="W12" s="111">
        <v>16</v>
      </c>
      <c r="X12" s="111" t="s">
        <v>36</v>
      </c>
      <c r="Y12" s="111">
        <v>0.2</v>
      </c>
      <c r="Z12" s="113">
        <v>69.36</v>
      </c>
      <c r="AA12" s="113">
        <v>21.72</v>
      </c>
      <c r="AB12" s="112" t="s">
        <v>26</v>
      </c>
      <c r="AC12" s="111"/>
      <c r="AD12" s="111"/>
      <c r="AE12" s="85"/>
      <c r="AF12" s="105"/>
      <c r="AG12" s="105"/>
      <c r="AH12" s="105"/>
      <c r="AI12" s="85"/>
      <c r="AJ12" s="85"/>
    </row>
    <row r="13" spans="1:36" s="70" customFormat="1" ht="15">
      <c r="A13" s="72"/>
      <c r="B13" s="73"/>
      <c r="C13" s="73"/>
      <c r="D13" s="69"/>
      <c r="E13" s="73"/>
      <c r="F13" s="73"/>
      <c r="G13" s="73"/>
      <c r="H13" s="74"/>
      <c r="I13" s="75"/>
      <c r="J13" s="75"/>
      <c r="K13" s="75"/>
      <c r="L13" s="75"/>
      <c r="M13" s="21"/>
      <c r="N13" s="34"/>
      <c r="O13" s="117">
        <v>12</v>
      </c>
      <c r="P13" s="111" t="s">
        <v>119</v>
      </c>
      <c r="Q13" s="111">
        <v>4</v>
      </c>
      <c r="R13" s="111">
        <v>290</v>
      </c>
      <c r="S13" s="111">
        <v>290</v>
      </c>
      <c r="T13" s="111">
        <v>50</v>
      </c>
      <c r="U13" s="111">
        <v>3</v>
      </c>
      <c r="V13" s="111">
        <v>20</v>
      </c>
      <c r="W13" s="111">
        <v>12</v>
      </c>
      <c r="X13" s="111" t="s">
        <v>36</v>
      </c>
      <c r="Y13" s="111">
        <v>0.074</v>
      </c>
      <c r="Z13" s="111">
        <v>14.88</v>
      </c>
      <c r="AA13" s="111">
        <v>11.6</v>
      </c>
      <c r="AB13" s="112" t="s">
        <v>44</v>
      </c>
      <c r="AC13" s="111"/>
      <c r="AD13" s="114"/>
      <c r="AE13" s="119"/>
      <c r="AF13" s="106"/>
      <c r="AG13" s="106"/>
      <c r="AH13" s="106"/>
      <c r="AI13" s="119"/>
      <c r="AJ13" s="119"/>
    </row>
    <row r="14" spans="1:36" s="70" customFormat="1" ht="15">
      <c r="A14" s="108" t="s">
        <v>129</v>
      </c>
      <c r="B14" s="73"/>
      <c r="C14" s="73"/>
      <c r="D14" s="69"/>
      <c r="E14" s="109" t="s">
        <v>129</v>
      </c>
      <c r="F14" s="73"/>
      <c r="G14" s="73"/>
      <c r="H14" s="74"/>
      <c r="I14" s="110" t="s">
        <v>129</v>
      </c>
      <c r="J14" s="75"/>
      <c r="K14" s="75"/>
      <c r="L14" s="75"/>
      <c r="M14" s="21"/>
      <c r="N14" s="34"/>
      <c r="O14" s="117">
        <v>13</v>
      </c>
      <c r="P14" s="111" t="s">
        <v>120</v>
      </c>
      <c r="Q14" s="111">
        <v>4</v>
      </c>
      <c r="R14" s="111">
        <v>400</v>
      </c>
      <c r="S14" s="111">
        <v>400</v>
      </c>
      <c r="T14" s="111">
        <v>50</v>
      </c>
      <c r="U14" s="111">
        <v>3</v>
      </c>
      <c r="V14" s="111">
        <v>25</v>
      </c>
      <c r="W14" s="111">
        <v>12</v>
      </c>
      <c r="X14" s="111" t="s">
        <v>36</v>
      </c>
      <c r="Y14" s="111">
        <v>0.081</v>
      </c>
      <c r="Z14" s="111">
        <v>21.71</v>
      </c>
      <c r="AA14" s="111">
        <v>14.9</v>
      </c>
      <c r="AB14" s="112" t="s">
        <v>44</v>
      </c>
      <c r="AC14" s="111"/>
      <c r="AD14" s="115">
        <v>10</v>
      </c>
      <c r="AE14" s="119"/>
      <c r="AF14" s="106"/>
      <c r="AG14" s="106"/>
      <c r="AH14" s="106"/>
      <c r="AI14" s="119"/>
      <c r="AJ14" s="119"/>
    </row>
    <row r="15" spans="1:36" s="70" customFormat="1" ht="15">
      <c r="A15" s="96">
        <f>IF(OR((J30*9.81/1000+C34)*J20^2/8+(J29*9.81/1000)*J20/4+(J33*9.81/1000)*J20/N35&gt;G35,J37&gt;G36),"Use another Eurotruss System for this load !","")</f>
      </c>
      <c r="B15" s="73"/>
      <c r="C15" s="73"/>
      <c r="D15" s="69"/>
      <c r="E15" s="95">
        <f>IF(OR((J30*9.81/1000+C34)*J20^2/8+(J29*9.81/1000)*J20/4+(J33*9.81/1000)*J20/N35&gt;G35,J37&gt;G36),"Use another Eurotruss System for this load !","")</f>
      </c>
      <c r="F15" s="73"/>
      <c r="G15" s="73"/>
      <c r="H15" s="74"/>
      <c r="I15" s="95">
        <f>IF(OR((J30*9.81/1000+C34)*J20^2/8+(J29*9.81/1000)*J20/4+(J33*9.81/1000)*J20/N35&gt;G35,J37&gt;G36),"Use another Eurotruss System for this load !","")</f>
      </c>
      <c r="J15" s="75"/>
      <c r="K15" s="75"/>
      <c r="L15" s="75"/>
      <c r="M15" s="21"/>
      <c r="N15" s="34"/>
      <c r="O15" s="117">
        <v>14</v>
      </c>
      <c r="P15" s="114" t="s">
        <v>122</v>
      </c>
      <c r="Q15" s="114">
        <v>4</v>
      </c>
      <c r="R15" s="114">
        <v>400</v>
      </c>
      <c r="S15" s="114">
        <v>400</v>
      </c>
      <c r="T15" s="114">
        <v>50</v>
      </c>
      <c r="U15" s="114">
        <v>3</v>
      </c>
      <c r="V15" s="114">
        <v>25</v>
      </c>
      <c r="W15" s="114">
        <v>12</v>
      </c>
      <c r="X15" s="111" t="s">
        <v>36</v>
      </c>
      <c r="Y15" s="114">
        <v>0.086</v>
      </c>
      <c r="Z15" s="114">
        <v>21.71</v>
      </c>
      <c r="AA15" s="114">
        <v>14.9</v>
      </c>
      <c r="AB15" s="116" t="s">
        <v>44</v>
      </c>
      <c r="AC15" s="114"/>
      <c r="AD15" s="114"/>
      <c r="AE15" s="119"/>
      <c r="AF15" s="106"/>
      <c r="AG15" s="106"/>
      <c r="AH15" s="106"/>
      <c r="AI15" s="119"/>
      <c r="AJ15" s="119"/>
    </row>
    <row r="16" spans="1:36" s="70" customFormat="1" ht="15">
      <c r="A16" s="72"/>
      <c r="B16" s="73"/>
      <c r="C16" s="73"/>
      <c r="D16" s="69"/>
      <c r="E16" s="73"/>
      <c r="F16" s="73"/>
      <c r="G16" s="73"/>
      <c r="H16" s="74"/>
      <c r="I16" s="75"/>
      <c r="J16" s="75"/>
      <c r="K16" s="75"/>
      <c r="L16" s="75"/>
      <c r="M16" s="21"/>
      <c r="N16" s="34"/>
      <c r="O16" s="117">
        <v>15</v>
      </c>
      <c r="P16" s="114" t="s">
        <v>123</v>
      </c>
      <c r="Q16" s="114">
        <v>4</v>
      </c>
      <c r="R16" s="114">
        <v>350</v>
      </c>
      <c r="S16" s="114">
        <v>350</v>
      </c>
      <c r="T16" s="114">
        <v>50</v>
      </c>
      <c r="U16" s="114">
        <v>3</v>
      </c>
      <c r="V16" s="114">
        <v>25</v>
      </c>
      <c r="W16" s="114">
        <v>12</v>
      </c>
      <c r="X16" s="111" t="s">
        <v>36</v>
      </c>
      <c r="Y16" s="114">
        <v>0.085</v>
      </c>
      <c r="Z16" s="114">
        <v>18.61</v>
      </c>
      <c r="AA16" s="114">
        <v>14.9</v>
      </c>
      <c r="AB16" s="116" t="s">
        <v>44</v>
      </c>
      <c r="AC16" s="114"/>
      <c r="AD16" s="114"/>
      <c r="AE16" s="119"/>
      <c r="AF16" s="106"/>
      <c r="AG16" s="106"/>
      <c r="AH16" s="106"/>
      <c r="AI16" s="119"/>
      <c r="AJ16" s="119"/>
    </row>
    <row r="17" spans="1:36" ht="15.75" thickBot="1">
      <c r="A17" s="46"/>
      <c r="B17" s="42"/>
      <c r="C17" s="42"/>
      <c r="D17" s="43"/>
      <c r="E17" s="41"/>
      <c r="F17" s="42"/>
      <c r="G17" s="42"/>
      <c r="H17" s="43"/>
      <c r="I17" s="42"/>
      <c r="J17" s="42"/>
      <c r="K17" s="42"/>
      <c r="L17" s="42"/>
      <c r="M17" s="42"/>
      <c r="N17" s="107"/>
      <c r="O17" s="126">
        <v>16</v>
      </c>
      <c r="P17" s="111" t="s">
        <v>124</v>
      </c>
      <c r="Q17" s="111">
        <v>4</v>
      </c>
      <c r="R17" s="111">
        <v>1010</v>
      </c>
      <c r="S17" s="111">
        <v>580</v>
      </c>
      <c r="T17" s="111">
        <v>60</v>
      </c>
      <c r="U17" s="111">
        <v>5</v>
      </c>
      <c r="V17" s="111" t="s">
        <v>125</v>
      </c>
      <c r="W17" s="111">
        <v>16</v>
      </c>
      <c r="X17" s="111" t="s">
        <v>36</v>
      </c>
      <c r="Y17" s="111">
        <v>0.25</v>
      </c>
      <c r="Z17" s="111">
        <v>131.3</v>
      </c>
      <c r="AA17" s="111">
        <v>38.8</v>
      </c>
      <c r="AB17" s="112" t="s">
        <v>26</v>
      </c>
      <c r="AC17" s="111"/>
      <c r="AD17" s="111"/>
      <c r="AE17" s="85"/>
      <c r="AF17" s="105"/>
      <c r="AG17" s="105"/>
      <c r="AH17" s="105"/>
      <c r="AI17" s="85"/>
      <c r="AJ17" s="85"/>
    </row>
    <row r="18" spans="1:36" ht="18">
      <c r="A18" s="94" t="s">
        <v>61</v>
      </c>
      <c r="B18" s="5"/>
      <c r="C18" s="5"/>
      <c r="D18" s="15"/>
      <c r="E18" s="93" t="s">
        <v>62</v>
      </c>
      <c r="F18" s="1"/>
      <c r="G18" s="1"/>
      <c r="H18" s="50"/>
      <c r="I18" s="93" t="s">
        <v>3</v>
      </c>
      <c r="J18" s="1"/>
      <c r="K18" s="1"/>
      <c r="L18" s="1"/>
      <c r="M18" s="1"/>
      <c r="N18" s="104"/>
      <c r="O18" s="117">
        <v>17</v>
      </c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85"/>
      <c r="AF18" s="105"/>
      <c r="AG18" s="105"/>
      <c r="AH18" s="105"/>
      <c r="AI18" s="85"/>
      <c r="AJ18" s="85"/>
    </row>
    <row r="19" spans="1:36" ht="18">
      <c r="A19" s="47"/>
      <c r="B19" s="5"/>
      <c r="C19" s="5"/>
      <c r="D19" s="15"/>
      <c r="E19" s="1"/>
      <c r="F19" s="1"/>
      <c r="G19" s="1"/>
      <c r="H19" s="15"/>
      <c r="I19" s="1"/>
      <c r="J19" s="1"/>
      <c r="K19" s="1"/>
      <c r="L19" s="1" t="s">
        <v>105</v>
      </c>
      <c r="M19" s="1"/>
      <c r="N19" s="104"/>
      <c r="O19" s="117">
        <v>18</v>
      </c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85"/>
      <c r="AF19" s="105"/>
      <c r="AG19" s="105"/>
      <c r="AH19" s="105"/>
      <c r="AI19" s="85"/>
      <c r="AJ19" s="85"/>
    </row>
    <row r="20" spans="1:36" ht="15">
      <c r="A20" s="14" t="s">
        <v>63</v>
      </c>
      <c r="B20" s="84" t="str">
        <f>LOOKUP(AD14,O2:O22,P2:P22)</f>
        <v>ST</v>
      </c>
      <c r="C20" s="34">
        <f>IF(B20="FD32","ask your dealer",IF(B20="FD42","ask your dealer",IF(B20="expoline","ask your dealer","")))</f>
      </c>
      <c r="D20" s="15"/>
      <c r="E20" s="1"/>
      <c r="F20" s="1"/>
      <c r="G20" s="1"/>
      <c r="H20" s="15"/>
      <c r="I20" s="1" t="s">
        <v>96</v>
      </c>
      <c r="J20" s="90">
        <v>20</v>
      </c>
      <c r="K20" s="1" t="s">
        <v>4</v>
      </c>
      <c r="L20" s="6" t="str">
        <f>B20</f>
        <v>ST</v>
      </c>
      <c r="M20" s="1"/>
      <c r="N20" s="34">
        <f>IF(B20="FD32","ask your dealer",IF(B20="FD42","ask your dealer",IF(B20="expoline","ask your dealer","")))</f>
      </c>
      <c r="O20" s="117">
        <v>19</v>
      </c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85"/>
      <c r="AF20" s="105"/>
      <c r="AG20" s="105"/>
      <c r="AH20" s="105"/>
      <c r="AI20" s="85"/>
      <c r="AJ20" s="85"/>
    </row>
    <row r="21" spans="1:36" ht="12.75">
      <c r="A21" s="14" t="s">
        <v>64</v>
      </c>
      <c r="B21" s="5" t="s">
        <v>127</v>
      </c>
      <c r="C21" s="5"/>
      <c r="D21" s="15"/>
      <c r="E21" s="1"/>
      <c r="F21" s="1"/>
      <c r="G21" s="1"/>
      <c r="H21" s="15"/>
      <c r="I21" s="1"/>
      <c r="J21" s="11"/>
      <c r="K21" s="12"/>
      <c r="L21" s="11"/>
      <c r="M21" s="13"/>
      <c r="N21" s="104"/>
      <c r="O21" s="117">
        <v>20</v>
      </c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85"/>
      <c r="AF21" s="105"/>
      <c r="AG21" s="105"/>
      <c r="AH21" s="105"/>
      <c r="AI21" s="85"/>
      <c r="AJ21" s="85"/>
    </row>
    <row r="22" spans="1:36" ht="12.75">
      <c r="A22" s="14"/>
      <c r="B22" s="5" t="s">
        <v>121</v>
      </c>
      <c r="C22" s="5"/>
      <c r="D22" s="15"/>
      <c r="E22" s="1"/>
      <c r="F22" s="1"/>
      <c r="G22" s="1"/>
      <c r="H22" s="15"/>
      <c r="I22" s="1"/>
      <c r="J22" s="98" t="s">
        <v>103</v>
      </c>
      <c r="K22" s="5"/>
      <c r="L22" s="97" t="s">
        <v>104</v>
      </c>
      <c r="M22" s="15"/>
      <c r="N22" s="104"/>
      <c r="O22" s="117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85"/>
      <c r="AF22" s="105"/>
      <c r="AG22" s="105"/>
      <c r="AH22" s="105"/>
      <c r="AI22" s="85"/>
      <c r="AJ22" s="85"/>
    </row>
    <row r="23" spans="1:36" ht="15">
      <c r="A23" s="14"/>
      <c r="B23" s="1" t="s">
        <v>128</v>
      </c>
      <c r="C23" s="5"/>
      <c r="D23" s="15"/>
      <c r="E23" s="1"/>
      <c r="F23" s="1"/>
      <c r="G23" s="1"/>
      <c r="H23" s="15"/>
      <c r="I23" s="1"/>
      <c r="J23" s="57"/>
      <c r="K23" s="20"/>
      <c r="L23" s="57"/>
      <c r="M23" s="19"/>
      <c r="N23" s="104"/>
      <c r="O23" s="117"/>
      <c r="P23" s="114">
        <v>1</v>
      </c>
      <c r="Q23" s="114">
        <v>2</v>
      </c>
      <c r="R23" s="114">
        <v>3</v>
      </c>
      <c r="S23" s="114">
        <v>4</v>
      </c>
      <c r="T23" s="114">
        <v>5</v>
      </c>
      <c r="U23" s="114">
        <v>6</v>
      </c>
      <c r="V23" s="114">
        <v>7</v>
      </c>
      <c r="W23" s="114">
        <v>8</v>
      </c>
      <c r="X23" s="114">
        <v>9</v>
      </c>
      <c r="Y23" s="114">
        <v>10</v>
      </c>
      <c r="Z23" s="114">
        <v>11</v>
      </c>
      <c r="AA23" s="114">
        <v>12</v>
      </c>
      <c r="AB23" s="114">
        <v>13</v>
      </c>
      <c r="AC23" s="114"/>
      <c r="AD23" s="114"/>
      <c r="AE23" s="119"/>
      <c r="AF23" s="105"/>
      <c r="AG23" s="105"/>
      <c r="AH23" s="105"/>
      <c r="AI23" s="85"/>
      <c r="AJ23" s="85"/>
    </row>
    <row r="24" spans="1:36" ht="12.75">
      <c r="A24" s="48" t="s">
        <v>47</v>
      </c>
      <c r="B24" s="5"/>
      <c r="C24" s="5"/>
      <c r="D24" s="15"/>
      <c r="E24" s="28" t="s">
        <v>86</v>
      </c>
      <c r="F24" s="5"/>
      <c r="G24" s="5"/>
      <c r="H24" s="15"/>
      <c r="I24" s="58" t="s">
        <v>97</v>
      </c>
      <c r="J24" s="59">
        <f>IF(G35*8/J20^2*J20/2&lt;G36,G35*8/J20^2/9.81*1000,G36*1000/9.81*2/J20)</f>
        <v>84.85219164118244</v>
      </c>
      <c r="K24" s="60" t="s">
        <v>5</v>
      </c>
      <c r="L24" s="61">
        <f>(5*J24/1000*9.81*((J20*1000)^4))/(384*70000*G28*10000)</f>
        <v>210.53235083663697</v>
      </c>
      <c r="M24" s="62" t="s">
        <v>6</v>
      </c>
      <c r="N24" s="67"/>
      <c r="O24" s="124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105"/>
      <c r="AG24" s="105"/>
      <c r="AH24" s="105"/>
      <c r="AI24" s="85"/>
      <c r="AJ24" s="85"/>
    </row>
    <row r="25" spans="1:36" ht="14.25">
      <c r="A25" s="49" t="s">
        <v>65</v>
      </c>
      <c r="B25" s="5"/>
      <c r="C25" s="30">
        <f>VLOOKUP(B20,P2:AB22,2,0)</f>
        <v>4</v>
      </c>
      <c r="D25" s="15"/>
      <c r="E25" s="29" t="s">
        <v>87</v>
      </c>
      <c r="F25" s="5" t="s">
        <v>7</v>
      </c>
      <c r="G25" s="32">
        <f>C25*(3.1416/4*(C29^2-(C29-C30*2)^2)/100)</f>
        <v>23.122176</v>
      </c>
      <c r="H25" s="15"/>
      <c r="I25" s="63" t="s">
        <v>98</v>
      </c>
      <c r="J25" s="59">
        <f>C34/9.81*1000</f>
        <v>13.659531090723751</v>
      </c>
      <c r="K25" s="60" t="s">
        <v>5</v>
      </c>
      <c r="L25" s="64">
        <f>(5*J25/1000*9.81*((J20*1000)^4))/(384*70000*G28*10000)</f>
        <v>33.89156056236107</v>
      </c>
      <c r="M25" s="65" t="s">
        <v>6</v>
      </c>
      <c r="N25" s="14"/>
      <c r="O25" s="123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105"/>
      <c r="AG25" s="105"/>
      <c r="AH25" s="105"/>
      <c r="AI25" s="85"/>
      <c r="AJ25" s="85"/>
    </row>
    <row r="26" spans="1:36" ht="14.25">
      <c r="A26" s="14" t="s">
        <v>66</v>
      </c>
      <c r="B26" s="5" t="s">
        <v>6</v>
      </c>
      <c r="C26" s="30">
        <f>VLOOKUP(B20,P2:AB22,3,0)</f>
        <v>500</v>
      </c>
      <c r="D26" s="15"/>
      <c r="E26" s="5" t="s">
        <v>88</v>
      </c>
      <c r="F26" s="5" t="s">
        <v>8</v>
      </c>
      <c r="G26" s="33">
        <f>IF(C25=4,(C26/10-C29/10)/2,IF(C25=3,(C26/10-C29/10)/3,IF(C25=2,(C26/10-C29/10)/2,"new input")))</f>
        <v>22.5</v>
      </c>
      <c r="H26" s="15"/>
      <c r="I26" s="63" t="s">
        <v>99</v>
      </c>
      <c r="J26" s="59">
        <f>J24-J25</f>
        <v>71.1926605504587</v>
      </c>
      <c r="K26" s="60" t="s">
        <v>5</v>
      </c>
      <c r="L26" s="29"/>
      <c r="M26" s="66"/>
      <c r="N26" s="68"/>
      <c r="O26" s="12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105"/>
      <c r="AG26" s="105"/>
      <c r="AH26" s="105"/>
      <c r="AI26" s="85"/>
      <c r="AJ26" s="85"/>
    </row>
    <row r="27" spans="1:36" ht="14.25">
      <c r="A27" s="14" t="s">
        <v>67</v>
      </c>
      <c r="B27" s="5" t="s">
        <v>6</v>
      </c>
      <c r="C27" s="30">
        <f>VLOOKUP(B20,P2:AB22,4,0)</f>
        <v>500</v>
      </c>
      <c r="D27" s="15"/>
      <c r="E27" s="5" t="s">
        <v>89</v>
      </c>
      <c r="F27" s="5" t="s">
        <v>9</v>
      </c>
      <c r="G27" s="32">
        <f>(3.1416/64*(C29^4-(C29-C30*2)^4)/10000)</f>
        <v>15.40514976</v>
      </c>
      <c r="H27" s="15"/>
      <c r="I27" s="1"/>
      <c r="J27" s="2"/>
      <c r="K27" s="16"/>
      <c r="L27" s="38"/>
      <c r="M27" s="15"/>
      <c r="N27" s="1"/>
      <c r="O27" s="123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105"/>
      <c r="AG27" s="105"/>
      <c r="AH27" s="105"/>
      <c r="AI27" s="85"/>
      <c r="AJ27" s="85"/>
    </row>
    <row r="28" spans="1:34" ht="14.25">
      <c r="A28" s="14" t="s">
        <v>68</v>
      </c>
      <c r="B28" s="5" t="s">
        <v>46</v>
      </c>
      <c r="C28" s="31" t="str">
        <f>VLOOKUP(B20,P2:AB22,13,0)</f>
        <v>FT</v>
      </c>
      <c r="D28" s="15"/>
      <c r="E28" s="5" t="s">
        <v>90</v>
      </c>
      <c r="F28" s="5" t="s">
        <v>9</v>
      </c>
      <c r="G28" s="32">
        <f>IF(C25=4,C25*(G27+G25/C25*G26^2),IF(C25=3,2*(G27+G25/C25*G26^2)+(G27+G25/C25*(G26*2)^2),IF(C25=2,C25*(G27+G25/C25*G26^2),)))</f>
        <v>11767.22219904</v>
      </c>
      <c r="H28" s="15"/>
      <c r="I28" s="1"/>
      <c r="J28" s="103">
        <f>IF(J29/2*9.81/1000&gt;G34,"info: high local pressure, point-contact not possible!","")</f>
      </c>
      <c r="K28" s="16"/>
      <c r="L28" s="38"/>
      <c r="M28" s="15"/>
      <c r="N28" s="1"/>
      <c r="O28" s="120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</row>
    <row r="29" spans="1:34" ht="12.75">
      <c r="A29" s="14" t="s">
        <v>69</v>
      </c>
      <c r="B29" s="5" t="s">
        <v>6</v>
      </c>
      <c r="C29" s="30">
        <f>VLOOKUP(B20,P2:AB22,5,0)</f>
        <v>50</v>
      </c>
      <c r="D29" s="15"/>
      <c r="E29" s="5" t="s">
        <v>91</v>
      </c>
      <c r="F29" s="5" t="s">
        <v>8</v>
      </c>
      <c r="G29" s="32">
        <f>SQRT((G27/(G25/C25)))</f>
        <v>1.6324827717314507</v>
      </c>
      <c r="H29" s="15"/>
      <c r="I29" s="17" t="s">
        <v>100</v>
      </c>
      <c r="J29" s="89">
        <v>0</v>
      </c>
      <c r="K29" s="17" t="s">
        <v>10</v>
      </c>
      <c r="L29" s="39">
        <f>((J29*9.81)*(J20*1000)^3)/(48*70000*(G28*10^4))</f>
        <v>0</v>
      </c>
      <c r="M29" s="13" t="s">
        <v>6</v>
      </c>
      <c r="N29" s="37" t="s">
        <v>106</v>
      </c>
      <c r="O29" s="122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</row>
    <row r="30" spans="1:34" ht="12.75">
      <c r="A30" s="14" t="s">
        <v>70</v>
      </c>
      <c r="B30" s="5" t="s">
        <v>6</v>
      </c>
      <c r="C30" s="30">
        <f>VLOOKUP(B20,P2:AB22,6,0)</f>
        <v>4</v>
      </c>
      <c r="D30" s="15"/>
      <c r="E30" s="5" t="s">
        <v>92</v>
      </c>
      <c r="F30" s="5" t="s">
        <v>8</v>
      </c>
      <c r="G30" s="32">
        <f>SQRT((G28/G25))</f>
        <v>22.55914448732487</v>
      </c>
      <c r="H30" s="15"/>
      <c r="I30" s="18" t="s">
        <v>101</v>
      </c>
      <c r="J30" s="88">
        <v>25</v>
      </c>
      <c r="K30" s="18" t="s">
        <v>5</v>
      </c>
      <c r="L30" s="7">
        <f>(5*(J30/1000*9.81+C34)*((J20*1000)^4))/(384*70000*G28*10000)</f>
        <v>95.92070405429433</v>
      </c>
      <c r="M30" s="15" t="s">
        <v>6</v>
      </c>
      <c r="N30" s="37" t="s">
        <v>107</v>
      </c>
      <c r="O30" s="122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</row>
    <row r="31" spans="1:34" ht="14.25">
      <c r="A31" s="14" t="s">
        <v>71</v>
      </c>
      <c r="B31" s="5" t="s">
        <v>6</v>
      </c>
      <c r="C31" s="31">
        <f>VLOOKUP(B20,P2:AB22,7,0)</f>
        <v>30</v>
      </c>
      <c r="D31" s="15"/>
      <c r="E31" s="5" t="s">
        <v>93</v>
      </c>
      <c r="F31" s="5" t="s">
        <v>11</v>
      </c>
      <c r="G31" s="32">
        <f>IF(C25=4,G28/(G26+C29/10/2),IF(C25=3,G28/(G26*2+C29/10/2),IF(C25=4,G28/(G26+C29/10/2))))</f>
        <v>470.68888796159996</v>
      </c>
      <c r="H31" s="15"/>
      <c r="I31" s="20" t="s">
        <v>102</v>
      </c>
      <c r="J31" s="3"/>
      <c r="K31" s="20"/>
      <c r="L31" s="8">
        <f>L29+L30</f>
        <v>95.92070405429433</v>
      </c>
      <c r="M31" s="19" t="s">
        <v>6</v>
      </c>
      <c r="N31" s="37" t="s">
        <v>107</v>
      </c>
      <c r="O31" s="122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</row>
    <row r="32" spans="1:34" ht="12.75">
      <c r="A32" s="14" t="s">
        <v>72</v>
      </c>
      <c r="B32" s="5" t="s">
        <v>6</v>
      </c>
      <c r="C32" s="30">
        <f>VLOOKUP(B20,P2:AB22,8,0)</f>
        <v>16</v>
      </c>
      <c r="D32" s="15"/>
      <c r="E32" s="1"/>
      <c r="F32" s="1"/>
      <c r="G32" s="6"/>
      <c r="H32" s="15"/>
      <c r="I32" s="1"/>
      <c r="J32" s="104">
        <f>IF(J33/2*9.81/1000&gt;G34,"info: high local pressure, point-contact not possible!","")</f>
      </c>
      <c r="K32" s="1"/>
      <c r="L32" s="1"/>
      <c r="M32" s="1"/>
      <c r="N32" s="11"/>
      <c r="O32" s="121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</row>
    <row r="33" spans="1:34" ht="12.75">
      <c r="A33" s="14" t="s">
        <v>73</v>
      </c>
      <c r="B33" s="5" t="s">
        <v>17</v>
      </c>
      <c r="C33" s="31" t="str">
        <f>VLOOKUP(B20,P2:AB22,9,0)</f>
        <v>AlMgSi1F31</v>
      </c>
      <c r="D33" s="15"/>
      <c r="E33" s="5"/>
      <c r="F33" s="5"/>
      <c r="G33" s="30"/>
      <c r="H33" s="15"/>
      <c r="I33" s="12" t="s">
        <v>111</v>
      </c>
      <c r="J33" s="87">
        <v>0</v>
      </c>
      <c r="K33" s="12" t="s">
        <v>10</v>
      </c>
      <c r="L33" s="12" t="s">
        <v>112</v>
      </c>
      <c r="M33" s="12"/>
      <c r="N33" s="14" t="s">
        <v>108</v>
      </c>
      <c r="O33" s="120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</row>
    <row r="34" spans="1:34" ht="12.75">
      <c r="A34" s="14" t="s">
        <v>74</v>
      </c>
      <c r="B34" s="5" t="s">
        <v>12</v>
      </c>
      <c r="C34" s="30">
        <f>VLOOKUP(B20,P2:AB22,10,0)</f>
        <v>0.134</v>
      </c>
      <c r="D34" s="15"/>
      <c r="E34" s="5" t="s">
        <v>118</v>
      </c>
      <c r="F34" s="5" t="s">
        <v>14</v>
      </c>
      <c r="G34" s="30">
        <f>IF(C30=2,2.5,IF(C30=3,5.63,IF(C30=4,9.99,"")))</f>
        <v>9.99</v>
      </c>
      <c r="H34" s="15"/>
      <c r="I34" s="20" t="s">
        <v>113</v>
      </c>
      <c r="J34" s="86">
        <v>5</v>
      </c>
      <c r="K34" s="20"/>
      <c r="L34" s="40">
        <f>IF(J34&lt;3,"only 3 - 6 loads",IF(J34&gt;6,"only 3 - 6 loads",""))</f>
      </c>
      <c r="M34" s="20"/>
      <c r="N34" s="14" t="s">
        <v>109</v>
      </c>
      <c r="O34" s="120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</row>
    <row r="35" spans="1:34" ht="27">
      <c r="A35" s="14"/>
      <c r="B35" s="5"/>
      <c r="C35" s="30"/>
      <c r="D35" s="15"/>
      <c r="E35" s="5" t="s">
        <v>94</v>
      </c>
      <c r="F35" s="5" t="s">
        <v>13</v>
      </c>
      <c r="G35" s="30">
        <f>VLOOKUP(B20,P2:AB22,11,0)</f>
        <v>41.62</v>
      </c>
      <c r="H35" s="15"/>
      <c r="I35" s="24" t="s">
        <v>110</v>
      </c>
      <c r="J35" s="102" t="str">
        <f>IF(OR((J30*9.81/1000+C34)*J20^2/8+(J29*9.81/1000)*J20/4+(J33*9.81/1000)*J20/N35&gt;G35,J37&gt;G36),"","ok")</f>
        <v>ok</v>
      </c>
      <c r="K35" s="99"/>
      <c r="L35" s="101">
        <f>IF(OR((J30*9.81/1000+C34)*J20^2/8+(J29*9.81/1000)*J20/4+(J33*9.81/1000)*J20/N35&gt;G35,J37&gt;G36),"Overload","")</f>
      </c>
      <c r="M35" s="20"/>
      <c r="N35" s="51">
        <f>IF(J34=3,2.4,IF(J34=4,2,IF(J34=5,1.54,IF(J34=6,1.33,"new input"))))</f>
        <v>1.54</v>
      </c>
      <c r="O35" s="19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</row>
    <row r="36" spans="1:15" ht="12.75">
      <c r="A36" s="14"/>
      <c r="B36" s="5"/>
      <c r="C36" s="5"/>
      <c r="D36" s="15"/>
      <c r="E36" s="5" t="s">
        <v>95</v>
      </c>
      <c r="F36" s="5" t="s">
        <v>14</v>
      </c>
      <c r="G36" s="30">
        <f>VLOOKUP(B20,P2:AB22,12,0)</f>
        <v>26.84</v>
      </c>
      <c r="H36" s="15"/>
      <c r="I36" s="22" t="s">
        <v>15</v>
      </c>
      <c r="J36" s="4">
        <f>(J30*9.81/1000+C34)*J20^2/8+(J29*9.81/1000)*J20/4+(J33*9.81/1000)*J20/N35</f>
        <v>18.9625</v>
      </c>
      <c r="K36" s="1">
        <f>IF(L36&lt;0,0,L36)</f>
        <v>22.6575</v>
      </c>
      <c r="L36" s="5">
        <f>G35-J36</f>
        <v>22.6575</v>
      </c>
      <c r="M36" s="1"/>
      <c r="N36" s="1"/>
      <c r="O36" s="15"/>
    </row>
    <row r="37" spans="1:16" ht="14.25">
      <c r="A37" s="83" t="s">
        <v>75</v>
      </c>
      <c r="B37" s="5"/>
      <c r="C37" s="5"/>
      <c r="D37" s="15"/>
      <c r="E37" s="5"/>
      <c r="F37" s="5"/>
      <c r="G37" s="5"/>
      <c r="H37" s="15"/>
      <c r="I37" s="22" t="s">
        <v>16</v>
      </c>
      <c r="J37" s="1">
        <f>(J20*(J25+J30)+J29+J34*J33)/2*9.81/1000</f>
        <v>3.7925000000000004</v>
      </c>
      <c r="K37" s="1">
        <f>IF(L37&lt;0,0,L37)</f>
        <v>23.0475</v>
      </c>
      <c r="L37" s="5">
        <f>G36-J37</f>
        <v>23.0475</v>
      </c>
      <c r="M37" s="1"/>
      <c r="N37" s="1"/>
      <c r="O37" s="15"/>
      <c r="P37" s="100"/>
    </row>
    <row r="38" spans="1:15" ht="12.75">
      <c r="A38" s="14"/>
      <c r="B38" s="5"/>
      <c r="C38" s="5"/>
      <c r="D38" s="15"/>
      <c r="E38" s="5"/>
      <c r="F38" s="5"/>
      <c r="G38" s="5"/>
      <c r="H38" s="15"/>
      <c r="I38" s="1"/>
      <c r="J38" s="1"/>
      <c r="K38" s="1"/>
      <c r="L38" s="5"/>
      <c r="M38" s="1"/>
      <c r="N38" s="1"/>
      <c r="O38" s="15"/>
    </row>
    <row r="39" spans="1:15" ht="12.75">
      <c r="A39" s="14"/>
      <c r="B39" s="5"/>
      <c r="C39" s="5"/>
      <c r="D39" s="15"/>
      <c r="E39" s="5"/>
      <c r="F39" s="5"/>
      <c r="G39" s="5"/>
      <c r="H39" s="15"/>
      <c r="I39" s="1"/>
      <c r="J39" s="1"/>
      <c r="K39" s="1"/>
      <c r="L39" s="5"/>
      <c r="M39" s="1"/>
      <c r="N39" s="1"/>
      <c r="O39" s="15"/>
    </row>
    <row r="40" spans="1:15" ht="25.5">
      <c r="A40" s="53">
        <f>IF(OR((J30*9.81/1000+C34)*J20^2/8+(J29*9.81/1000)*J20/4+(J33*9.81/1000)*J20/N35&gt;G35,J37&gt;G36),"Overload !","")</f>
      </c>
      <c r="B40" s="5"/>
      <c r="C40" s="5"/>
      <c r="D40" s="15"/>
      <c r="E40" s="1"/>
      <c r="F40" s="5"/>
      <c r="G40" s="5"/>
      <c r="H40" s="15"/>
      <c r="I40" s="1"/>
      <c r="J40" s="1"/>
      <c r="K40" s="1"/>
      <c r="L40" s="5"/>
      <c r="M40" s="1"/>
      <c r="N40" s="5"/>
      <c r="O40" s="15"/>
    </row>
    <row r="41" spans="1:15" ht="15">
      <c r="A41" s="14"/>
      <c r="B41" s="5"/>
      <c r="C41" s="5"/>
      <c r="D41" s="15"/>
      <c r="E41" s="36"/>
      <c r="F41" s="5"/>
      <c r="G41" s="5"/>
      <c r="H41" s="15"/>
      <c r="I41" s="1"/>
      <c r="J41" s="1"/>
      <c r="K41" s="1"/>
      <c r="L41" s="5"/>
      <c r="M41" s="1"/>
      <c r="N41" s="1"/>
      <c r="O41" s="15"/>
    </row>
    <row r="42" spans="1:15" ht="12.75">
      <c r="A42" s="14"/>
      <c r="B42" s="5"/>
      <c r="C42" s="5"/>
      <c r="D42" s="15"/>
      <c r="E42" s="5"/>
      <c r="F42" s="5"/>
      <c r="G42" s="5"/>
      <c r="H42" s="15"/>
      <c r="I42" s="1"/>
      <c r="J42" s="1"/>
      <c r="K42" s="1"/>
      <c r="L42" s="5"/>
      <c r="M42" s="1"/>
      <c r="N42" s="1"/>
      <c r="O42" s="15"/>
    </row>
    <row r="43" spans="1:15" ht="12.75">
      <c r="A43" s="14"/>
      <c r="B43" s="5"/>
      <c r="C43" s="5"/>
      <c r="D43" s="15"/>
      <c r="E43" s="5"/>
      <c r="F43" s="5"/>
      <c r="G43" s="5"/>
      <c r="H43" s="15"/>
      <c r="I43" s="1"/>
      <c r="J43" s="1"/>
      <c r="K43" s="1"/>
      <c r="L43" s="5"/>
      <c r="M43" s="1"/>
      <c r="N43" s="1"/>
      <c r="O43" s="15"/>
    </row>
    <row r="44" spans="1:15" ht="12.75">
      <c r="A44" s="14"/>
      <c r="B44" s="5"/>
      <c r="C44" s="5"/>
      <c r="D44" s="15"/>
      <c r="E44" s="5"/>
      <c r="F44" s="5"/>
      <c r="G44" s="5"/>
      <c r="H44" s="15"/>
      <c r="I44" s="1"/>
      <c r="J44" s="1"/>
      <c r="K44" s="1"/>
      <c r="L44" s="5"/>
      <c r="M44" s="1"/>
      <c r="N44" s="1"/>
      <c r="O44" s="15"/>
    </row>
    <row r="45" spans="1:15" ht="12.75">
      <c r="A45" s="14"/>
      <c r="B45" s="5"/>
      <c r="C45" s="5"/>
      <c r="D45" s="15"/>
      <c r="E45" s="5"/>
      <c r="F45" s="5"/>
      <c r="G45" s="5"/>
      <c r="H45" s="15"/>
      <c r="I45" s="1"/>
      <c r="J45" s="1"/>
      <c r="K45" s="1"/>
      <c r="L45" s="5"/>
      <c r="M45" s="1"/>
      <c r="N45" s="1"/>
      <c r="O45" s="15"/>
    </row>
    <row r="46" spans="1:15" ht="12.75">
      <c r="A46" s="14"/>
      <c r="B46" s="5"/>
      <c r="C46" s="5"/>
      <c r="D46" s="15"/>
      <c r="E46" s="5"/>
      <c r="F46" s="5"/>
      <c r="G46" s="5"/>
      <c r="H46" s="15"/>
      <c r="I46" s="1"/>
      <c r="J46" s="1"/>
      <c r="K46" s="1"/>
      <c r="L46" s="5"/>
      <c r="M46" s="1"/>
      <c r="N46" s="1"/>
      <c r="O46" s="15"/>
    </row>
    <row r="47" spans="1:15" ht="12.75">
      <c r="A47" s="14"/>
      <c r="B47" s="5"/>
      <c r="C47" s="5"/>
      <c r="D47" s="15"/>
      <c r="E47" s="5"/>
      <c r="F47" s="5"/>
      <c r="G47" s="5"/>
      <c r="H47" s="15"/>
      <c r="I47" s="1"/>
      <c r="J47" s="1"/>
      <c r="K47" s="1"/>
      <c r="L47" s="5"/>
      <c r="M47" s="1"/>
      <c r="N47" s="1"/>
      <c r="O47" s="15"/>
    </row>
    <row r="48" spans="1:15" ht="12.75">
      <c r="A48" s="14"/>
      <c r="B48" s="5"/>
      <c r="C48" s="5"/>
      <c r="D48" s="15"/>
      <c r="E48" s="5"/>
      <c r="F48" s="5"/>
      <c r="G48" s="5"/>
      <c r="H48" s="15"/>
      <c r="I48" s="1"/>
      <c r="J48" s="1"/>
      <c r="K48" s="1"/>
      <c r="L48" s="5"/>
      <c r="M48" s="1"/>
      <c r="N48" s="1"/>
      <c r="O48" s="15"/>
    </row>
    <row r="49" spans="1:15" ht="25.5">
      <c r="A49" s="1"/>
      <c r="B49" s="1"/>
      <c r="C49" s="1"/>
      <c r="D49" s="15"/>
      <c r="E49" s="35">
        <f>IF(OR((J30*9.81/1000+C34)*J20^2/8+(J29*9.81/1000)*J20/4+(J33*9.81/1000)*J20/N35&gt;G35,J37&gt;G36),"Overload !","")</f>
      </c>
      <c r="F49" s="5"/>
      <c r="G49" s="5"/>
      <c r="H49" s="15"/>
      <c r="I49" s="92">
        <f>IF(OR((J30*9.81/1000+C34)*J20^2/8+(J29*9.81/1000)*J20/4+(J33*9.81/1000)*J20/N35&gt;G35,J37&gt;G36),"Overload !","")</f>
      </c>
      <c r="J49" s="1"/>
      <c r="K49" s="1"/>
      <c r="L49" s="5"/>
      <c r="M49" s="1"/>
      <c r="N49" s="1"/>
      <c r="O49" s="15"/>
    </row>
    <row r="50" spans="1:15" ht="12.75">
      <c r="A50" s="1"/>
      <c r="B50" s="1"/>
      <c r="C50" s="1"/>
      <c r="D50" s="15"/>
      <c r="E50" s="1"/>
      <c r="F50" s="5"/>
      <c r="G50" s="5"/>
      <c r="H50" s="15"/>
      <c r="I50" s="1"/>
      <c r="J50" s="1"/>
      <c r="K50" s="1"/>
      <c r="L50" s="5"/>
      <c r="M50" s="1"/>
      <c r="N50" s="1"/>
      <c r="O50" s="15"/>
    </row>
    <row r="51" spans="1:15" ht="12.75">
      <c r="A51" s="49" t="s">
        <v>40</v>
      </c>
      <c r="B51" s="76"/>
      <c r="C51" s="76"/>
      <c r="D51" s="77"/>
      <c r="E51" s="49" t="s">
        <v>40</v>
      </c>
      <c r="F51" s="76"/>
      <c r="G51" s="76"/>
      <c r="H51" s="77"/>
      <c r="I51" s="49" t="s">
        <v>40</v>
      </c>
      <c r="J51" s="78"/>
      <c r="K51" s="78"/>
      <c r="L51" s="76"/>
      <c r="M51" s="78"/>
      <c r="N51" s="78"/>
      <c r="O51" s="15"/>
    </row>
    <row r="52" spans="1:15" ht="12.75">
      <c r="A52" s="49" t="s">
        <v>0</v>
      </c>
      <c r="B52" s="76"/>
      <c r="C52" s="76"/>
      <c r="D52" s="77"/>
      <c r="E52" s="49" t="s">
        <v>0</v>
      </c>
      <c r="F52" s="76"/>
      <c r="G52" s="76"/>
      <c r="H52" s="77"/>
      <c r="I52" s="49" t="s">
        <v>0</v>
      </c>
      <c r="J52" s="78"/>
      <c r="K52" s="78"/>
      <c r="L52" s="76"/>
      <c r="M52" s="78"/>
      <c r="N52" s="78"/>
      <c r="O52" s="15"/>
    </row>
    <row r="53" spans="1:15" ht="12.75">
      <c r="A53" s="49" t="s">
        <v>1</v>
      </c>
      <c r="B53" s="76"/>
      <c r="C53" s="76"/>
      <c r="D53" s="77"/>
      <c r="E53" s="49" t="s">
        <v>1</v>
      </c>
      <c r="F53" s="76"/>
      <c r="G53" s="76"/>
      <c r="H53" s="77"/>
      <c r="I53" s="49" t="s">
        <v>1</v>
      </c>
      <c r="J53" s="78"/>
      <c r="K53" s="78"/>
      <c r="L53" s="76"/>
      <c r="M53" s="78"/>
      <c r="N53" s="78"/>
      <c r="O53" s="15"/>
    </row>
    <row r="54" spans="1:15" ht="12.75">
      <c r="A54" s="79" t="s">
        <v>2</v>
      </c>
      <c r="B54" s="80"/>
      <c r="C54" s="80"/>
      <c r="D54" s="81"/>
      <c r="E54" s="79" t="s">
        <v>2</v>
      </c>
      <c r="F54" s="80"/>
      <c r="G54" s="80"/>
      <c r="H54" s="81"/>
      <c r="I54" s="79" t="s">
        <v>2</v>
      </c>
      <c r="J54" s="82"/>
      <c r="K54" s="82"/>
      <c r="L54" s="80"/>
      <c r="M54" s="82"/>
      <c r="N54" s="82"/>
      <c r="O54" s="15"/>
    </row>
    <row r="55" spans="1:15" ht="12.75">
      <c r="A55" s="49" t="s">
        <v>114</v>
      </c>
      <c r="B55" s="76"/>
      <c r="C55" s="76"/>
      <c r="D55" s="77"/>
      <c r="E55" s="49" t="s">
        <v>114</v>
      </c>
      <c r="F55" s="76"/>
      <c r="G55" s="76"/>
      <c r="H55" s="77"/>
      <c r="I55" s="49" t="s">
        <v>114</v>
      </c>
      <c r="J55" s="78"/>
      <c r="K55" s="78"/>
      <c r="L55" s="76"/>
      <c r="M55" s="78"/>
      <c r="N55" s="78"/>
      <c r="O55" s="15"/>
    </row>
    <row r="56" spans="1:15" ht="13.5" thickBot="1">
      <c r="A56" s="52"/>
      <c r="B56" s="42"/>
      <c r="C56" s="42"/>
      <c r="D56" s="43"/>
      <c r="E56" s="42"/>
      <c r="F56" s="42"/>
      <c r="G56" s="42"/>
      <c r="H56" s="43"/>
      <c r="I56" s="42"/>
      <c r="J56" s="42"/>
      <c r="K56" s="42"/>
      <c r="L56" s="42"/>
      <c r="M56" s="42"/>
      <c r="N56" s="42"/>
      <c r="O56" s="43"/>
    </row>
    <row r="57" spans="1:15" ht="12.75">
      <c r="A57" s="48" t="s">
        <v>76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5"/>
      <c r="M57" s="1"/>
      <c r="N57" s="1"/>
      <c r="O57" s="50"/>
    </row>
    <row r="58" spans="1:15" ht="12.75">
      <c r="A58" s="55" t="s">
        <v>77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5"/>
      <c r="M58" s="1"/>
      <c r="N58" s="1"/>
      <c r="O58" s="15"/>
    </row>
    <row r="59" spans="1:15" ht="12.75">
      <c r="A59" s="56" t="s">
        <v>78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5"/>
      <c r="M59" s="1"/>
      <c r="N59" s="1"/>
      <c r="O59" s="15"/>
    </row>
    <row r="60" spans="1:15" ht="12.75">
      <c r="A60" s="14" t="s">
        <v>79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5"/>
      <c r="M60" s="1"/>
      <c r="N60" s="1"/>
      <c r="O60" s="15"/>
    </row>
    <row r="61" spans="1:15" ht="12.75">
      <c r="A61" s="14" t="s">
        <v>80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5"/>
      <c r="M61" s="1"/>
      <c r="N61" s="1"/>
      <c r="O61" s="15"/>
    </row>
    <row r="62" spans="1:21" ht="12.75">
      <c r="A62" s="14" t="s">
        <v>81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5"/>
      <c r="M62" s="1"/>
      <c r="N62" s="1"/>
      <c r="O62" s="15"/>
      <c r="R62" s="118"/>
      <c r="S62" s="118"/>
      <c r="T62" s="118"/>
      <c r="U62" s="118"/>
    </row>
    <row r="63" spans="1:21" ht="12.75">
      <c r="A63" s="14" t="s">
        <v>82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5"/>
      <c r="M63" s="1"/>
      <c r="N63" s="1"/>
      <c r="O63" s="15"/>
      <c r="R63" s="118"/>
      <c r="S63" s="118"/>
      <c r="T63" s="118"/>
      <c r="U63" s="118"/>
    </row>
    <row r="64" spans="1:21" ht="12.75">
      <c r="A64" s="14" t="s">
        <v>83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5"/>
      <c r="N64" s="1"/>
      <c r="O64" s="15"/>
      <c r="R64" s="118"/>
      <c r="S64" s="118"/>
      <c r="T64" s="118"/>
      <c r="U64" s="118"/>
    </row>
    <row r="65" spans="1:21" ht="12.75">
      <c r="A65" s="1" t="s">
        <v>84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5"/>
      <c r="N65" s="1"/>
      <c r="O65" s="15"/>
      <c r="R65" s="118"/>
      <c r="S65" s="118"/>
      <c r="T65" s="118"/>
      <c r="U65" s="118"/>
    </row>
    <row r="66" spans="1:21" ht="12.75">
      <c r="A66" s="1" t="s">
        <v>117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5"/>
      <c r="N66" s="1"/>
      <c r="O66" s="15"/>
      <c r="R66" s="118"/>
      <c r="S66" s="118"/>
      <c r="T66" s="118"/>
      <c r="U66" s="118"/>
    </row>
    <row r="67" spans="1:21" ht="12.75">
      <c r="A67" s="14" t="s">
        <v>116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5"/>
      <c r="N67" s="1"/>
      <c r="O67" s="15"/>
      <c r="R67" s="118"/>
      <c r="S67" s="118"/>
      <c r="T67" s="118"/>
      <c r="U67" s="118"/>
    </row>
    <row r="68" spans="1:21" ht="12.75">
      <c r="A68" s="14" t="s">
        <v>85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5"/>
      <c r="N68" s="1"/>
      <c r="O68" s="15"/>
      <c r="R68" s="118"/>
      <c r="S68" s="118"/>
      <c r="T68" s="118"/>
      <c r="U68" s="118"/>
    </row>
    <row r="69" spans="1:21" ht="12.75">
      <c r="A69" s="1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5"/>
      <c r="R69" s="118"/>
      <c r="S69" s="118"/>
      <c r="T69" s="118"/>
      <c r="U69" s="118"/>
    </row>
    <row r="70" spans="1:21" ht="12.75">
      <c r="A70" s="1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5"/>
      <c r="R70" s="118"/>
      <c r="S70" s="118"/>
      <c r="T70" s="118"/>
      <c r="U70" s="118"/>
    </row>
    <row r="71" spans="1:21" ht="12.75">
      <c r="A71" s="1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5"/>
      <c r="R71" s="118"/>
      <c r="S71" s="118"/>
      <c r="T71" s="118"/>
      <c r="U71" s="118"/>
    </row>
    <row r="72" spans="1:21" ht="12.75">
      <c r="A72" s="1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5"/>
      <c r="R72" s="118"/>
      <c r="S72" s="118"/>
      <c r="T72" s="118"/>
      <c r="U72" s="118"/>
    </row>
    <row r="73" spans="1:21" ht="12.75">
      <c r="A73" s="1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5"/>
      <c r="R73" s="118"/>
      <c r="S73" s="118"/>
      <c r="T73" s="118"/>
      <c r="U73" s="118"/>
    </row>
    <row r="74" spans="1:21" ht="12.75">
      <c r="A74" s="1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5"/>
      <c r="R74" s="118"/>
      <c r="S74" s="118"/>
      <c r="T74" s="118"/>
      <c r="U74" s="118"/>
    </row>
    <row r="75" spans="1:21" ht="12.75">
      <c r="A75" s="1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5"/>
      <c r="R75" s="118"/>
      <c r="S75" s="118"/>
      <c r="T75" s="118"/>
      <c r="U75" s="118"/>
    </row>
    <row r="76" spans="1:21" ht="12.75">
      <c r="A76" s="1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5"/>
      <c r="R76" s="118"/>
      <c r="S76" s="118"/>
      <c r="T76" s="118"/>
      <c r="U76" s="118"/>
    </row>
    <row r="77" spans="1:21" ht="12.75">
      <c r="A77" s="1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5"/>
      <c r="R77" s="118"/>
      <c r="S77" s="118"/>
      <c r="T77" s="118"/>
      <c r="U77" s="118"/>
    </row>
    <row r="78" spans="1:21" ht="12.75">
      <c r="A78" s="1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5"/>
      <c r="R78" s="118"/>
      <c r="S78" s="118"/>
      <c r="T78" s="118"/>
      <c r="U78" s="118"/>
    </row>
    <row r="79" spans="1:21" ht="12.75">
      <c r="A79" s="1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5"/>
      <c r="R79" s="118"/>
      <c r="S79" s="118"/>
      <c r="T79" s="118"/>
      <c r="U79" s="118"/>
    </row>
    <row r="80" spans="1:21" ht="12.75">
      <c r="A80" s="57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19"/>
      <c r="R80" s="118"/>
      <c r="S80" s="118"/>
      <c r="T80" s="118"/>
      <c r="U80" s="118"/>
    </row>
    <row r="81" spans="1:21" ht="12.7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R81" s="118"/>
      <c r="S81" s="118"/>
      <c r="T81" s="118"/>
      <c r="U81" s="118"/>
    </row>
    <row r="82" spans="1:21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R82" s="118"/>
      <c r="S82" s="118"/>
      <c r="T82" s="118"/>
      <c r="U82" s="118"/>
    </row>
    <row r="83" spans="1:21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R83" s="118"/>
      <c r="S83" s="118"/>
      <c r="T83" s="118"/>
      <c r="U83" s="118"/>
    </row>
    <row r="84" spans="1:21" ht="12.7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R84" s="118"/>
      <c r="S84" s="118"/>
      <c r="T84" s="118"/>
      <c r="U84" s="118"/>
    </row>
    <row r="85" spans="1:15" ht="12.7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</row>
    <row r="86" spans="1:15" ht="12.7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</row>
    <row r="87" spans="1:15" ht="12.7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</row>
    <row r="88" spans="1:15" ht="12.7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</row>
    <row r="89" spans="1:15" ht="12.7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</row>
    <row r="90" spans="1:15" ht="12.7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</row>
    <row r="91" spans="1:15" ht="12.7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</row>
    <row r="92" spans="1:15" ht="12.7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</row>
    <row r="93" spans="1:15" ht="12.7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</row>
    <row r="94" spans="1:15" ht="12.7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</row>
    <row r="95" spans="1:15" ht="12.7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</row>
    <row r="96" spans="1:15" ht="12.7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</row>
    <row r="97" spans="1:15" ht="12.7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</row>
    <row r="98" spans="1:15" ht="12.7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</row>
    <row r="99" spans="1:15" ht="12.7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</row>
    <row r="100" spans="1:15" ht="12.7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</row>
    <row r="101" spans="1:15" ht="12.7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</row>
    <row r="102" spans="1:15" ht="12.7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</row>
    <row r="103" spans="1:15" ht="12.7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</row>
    <row r="104" spans="1:15" ht="12.7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</row>
    <row r="105" spans="1:15" ht="12.7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</row>
  </sheetData>
  <sheetProtection password="DC49" sheet="1" objects="1" scenarios="1"/>
  <hyperlinks>
    <hyperlink ref="A54" r:id="rId1" display="http://www.expo-engineering.de"/>
    <hyperlink ref="E54" r:id="rId2" display="http://www.expo-engineering.de"/>
    <hyperlink ref="I54" r:id="rId3" display="http://www.expo-engineering.de"/>
  </hyperlinks>
  <printOptions/>
  <pageMargins left="0.75" right="0.75" top="1" bottom="1" header="0.4921259845" footer="0.4921259845"/>
  <pageSetup horizontalDpi="600" verticalDpi="600" orientation="portrait" paperSize="9" r:id="rId9"/>
  <headerFooter alignWithMargins="0">
    <oddHeader>&amp;C&amp;A</oddHeader>
    <oddFooter>&amp;CSeite &amp;P</oddFooter>
  </headerFooter>
  <drawing r:id="rId8"/>
  <legacyDrawing r:id="rId7"/>
  <oleObjects>
    <oleObject progId="AutoCAD.Drawing.14" shapeId="217122" r:id="rId4"/>
    <oleObject progId="AutoCAD.Drawing.14" shapeId="217802" r:id="rId5"/>
    <oleObject progId="AutoCAD.Drawing.14" shapeId="219220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L41"/>
  <sheetViews>
    <sheetView workbookViewId="0" topLeftCell="A1">
      <selection activeCell="L6" sqref="L6"/>
    </sheetView>
  </sheetViews>
  <sheetFormatPr defaultColWidth="11.421875" defaultRowHeight="12.75"/>
  <cols>
    <col min="1" max="16384" width="11.421875" style="85" customWidth="1"/>
  </cols>
  <sheetData>
    <row r="1" spans="1:12" ht="12.75">
      <c r="A1" s="85" t="s">
        <v>48</v>
      </c>
      <c r="B1" s="85" t="s">
        <v>49</v>
      </c>
      <c r="C1" s="85" t="s">
        <v>50</v>
      </c>
      <c r="D1" s="85" t="s">
        <v>51</v>
      </c>
      <c r="E1" s="85" t="s">
        <v>52</v>
      </c>
      <c r="F1" s="85" t="s">
        <v>53</v>
      </c>
      <c r="G1" s="85" t="s">
        <v>54</v>
      </c>
      <c r="I1" s="85" t="s">
        <v>56</v>
      </c>
      <c r="J1" s="85" t="s">
        <v>57</v>
      </c>
      <c r="K1" s="85" t="s">
        <v>58</v>
      </c>
      <c r="L1" s="85" t="s">
        <v>59</v>
      </c>
    </row>
    <row r="2" spans="1:12" ht="12.75">
      <c r="A2" s="85">
        <v>1</v>
      </c>
      <c r="B2" s="85">
        <f>[0]!_M*8/A2^2-[0]!_g</f>
        <v>332.82599999999996</v>
      </c>
      <c r="C2" s="85">
        <f>[0]!_V/Tabelle2!A2*2-[0]!_g</f>
        <v>53.546</v>
      </c>
      <c r="D2" s="85">
        <f>IF(B2&lt;C2,B2,C2)</f>
        <v>53.546</v>
      </c>
      <c r="E2" s="85">
        <f>IF(D2&gt;0,D2,"")</f>
        <v>53.546</v>
      </c>
      <c r="F2" s="85">
        <f>E2/9.81*1000</f>
        <v>5458.307849133537</v>
      </c>
      <c r="G2" s="85">
        <f>F2*A2</f>
        <v>5458.307849133537</v>
      </c>
      <c r="I2" s="85">
        <f>4*(_M-_g*A2^2/8)/A2</f>
        <v>166.41299999999998</v>
      </c>
      <c r="J2" s="85">
        <f>2*(_V-_g*A2/2)</f>
        <v>53.546</v>
      </c>
      <c r="K2" s="85">
        <f>IF(I2&lt;J2,I2,J2)</f>
        <v>53.546</v>
      </c>
      <c r="L2" s="85">
        <f>K2*1000/9.81</f>
        <v>5458.307849133537</v>
      </c>
    </row>
    <row r="3" spans="1:12" ht="12.75">
      <c r="A3" s="85">
        <v>2</v>
      </c>
      <c r="B3" s="85">
        <f>[0]!_M*8/A3^2-[0]!_g</f>
        <v>83.106</v>
      </c>
      <c r="C3" s="85">
        <f>[0]!_V/Tabelle2!A3*2-[0]!_g</f>
        <v>26.706</v>
      </c>
      <c r="D3" s="85">
        <f aca="true" t="shared" si="0" ref="D3:D41">IF(B3&lt;C3,B3,C3)</f>
        <v>26.706</v>
      </c>
      <c r="E3" s="85">
        <f aca="true" t="shared" si="1" ref="E3:E41">IF(D3&gt;0,D3,"")</f>
        <v>26.706</v>
      </c>
      <c r="F3" s="85">
        <f aca="true" t="shared" si="2" ref="F3:F41">E3/9.81*1000</f>
        <v>2722.3241590214066</v>
      </c>
      <c r="G3" s="85">
        <f aca="true" t="shared" si="3" ref="G3:G41">F3*A3</f>
        <v>5444.648318042813</v>
      </c>
      <c r="I3" s="85">
        <f aca="true" t="shared" si="4" ref="I3:I41">4*(_M-_g*A3^2/8)/A3</f>
        <v>83.106</v>
      </c>
      <c r="J3" s="85">
        <f aca="true" t="shared" si="5" ref="J3:J41">2*(_V-_g*A3/2)</f>
        <v>53.412</v>
      </c>
      <c r="K3" s="85">
        <f aca="true" t="shared" si="6" ref="K3:K41">IF(I3&lt;J3,I3,J3)</f>
        <v>53.412</v>
      </c>
      <c r="L3" s="85">
        <f aca="true" t="shared" si="7" ref="L3:L41">K3*1000/9.81</f>
        <v>5444.648318042813</v>
      </c>
    </row>
    <row r="4" spans="1:12" ht="12.75">
      <c r="A4" s="85">
        <v>3</v>
      </c>
      <c r="B4" s="85">
        <f>[0]!_M*8/A4^2-[0]!_g</f>
        <v>36.861555555555555</v>
      </c>
      <c r="C4" s="85">
        <f>[0]!_V/Tabelle2!A4*2-[0]!_g</f>
        <v>17.759333333333334</v>
      </c>
      <c r="D4" s="85">
        <f t="shared" si="0"/>
        <v>17.759333333333334</v>
      </c>
      <c r="E4" s="85">
        <f t="shared" si="1"/>
        <v>17.759333333333334</v>
      </c>
      <c r="F4" s="85">
        <f t="shared" si="2"/>
        <v>1810.3295956506965</v>
      </c>
      <c r="G4" s="85">
        <f t="shared" si="3"/>
        <v>5430.98878695209</v>
      </c>
      <c r="I4" s="85">
        <f t="shared" si="4"/>
        <v>55.292333333333325</v>
      </c>
      <c r="J4" s="85">
        <f t="shared" si="5"/>
        <v>53.278</v>
      </c>
      <c r="K4" s="85">
        <f t="shared" si="6"/>
        <v>53.278</v>
      </c>
      <c r="L4" s="85">
        <f t="shared" si="7"/>
        <v>5430.98878695209</v>
      </c>
    </row>
    <row r="5" spans="1:12" ht="12.75">
      <c r="A5" s="85">
        <v>4</v>
      </c>
      <c r="B5" s="85">
        <f>[0]!_M*8/A5^2-[0]!_g</f>
        <v>20.676</v>
      </c>
      <c r="C5" s="85">
        <f>[0]!_V/Tabelle2!A5*2-[0]!_g</f>
        <v>13.286</v>
      </c>
      <c r="D5" s="85">
        <f t="shared" si="0"/>
        <v>13.286</v>
      </c>
      <c r="E5" s="85">
        <f t="shared" si="1"/>
        <v>13.286</v>
      </c>
      <c r="F5" s="85">
        <f t="shared" si="2"/>
        <v>1354.3323139653414</v>
      </c>
      <c r="G5" s="85">
        <f t="shared" si="3"/>
        <v>5417.329255861366</v>
      </c>
      <c r="I5" s="85">
        <f t="shared" si="4"/>
        <v>41.352</v>
      </c>
      <c r="J5" s="85">
        <f t="shared" si="5"/>
        <v>53.144</v>
      </c>
      <c r="K5" s="85">
        <f t="shared" si="6"/>
        <v>41.352</v>
      </c>
      <c r="L5" s="85">
        <f t="shared" si="7"/>
        <v>4215.290519877675</v>
      </c>
    </row>
    <row r="6" spans="1:12" ht="12.75">
      <c r="A6" s="85">
        <v>5</v>
      </c>
      <c r="B6" s="85">
        <f>[0]!_M*8/A6^2-[0]!_g</f>
        <v>13.184399999999998</v>
      </c>
      <c r="C6" s="85">
        <f>[0]!_V/Tabelle2!A6*2-[0]!_g</f>
        <v>10.602</v>
      </c>
      <c r="D6" s="85">
        <f t="shared" si="0"/>
        <v>10.602</v>
      </c>
      <c r="E6" s="85">
        <f t="shared" si="1"/>
        <v>10.602</v>
      </c>
      <c r="F6" s="85">
        <f t="shared" si="2"/>
        <v>1080.7339449541284</v>
      </c>
      <c r="G6" s="85">
        <f t="shared" si="3"/>
        <v>5403.6697247706425</v>
      </c>
      <c r="I6" s="85">
        <f t="shared" si="4"/>
        <v>32.961</v>
      </c>
      <c r="J6" s="85">
        <f t="shared" si="5"/>
        <v>53.01</v>
      </c>
      <c r="K6" s="85">
        <f t="shared" si="6"/>
        <v>32.961</v>
      </c>
      <c r="L6" s="85">
        <f t="shared" si="7"/>
        <v>3359.9388379204893</v>
      </c>
    </row>
    <row r="7" spans="1:12" ht="12.75">
      <c r="A7" s="85">
        <v>6</v>
      </c>
      <c r="B7" s="85">
        <f>[0]!_M*8/A7^2-[0]!_g</f>
        <v>9.114888888888888</v>
      </c>
      <c r="C7" s="85">
        <f>[0]!_V/Tabelle2!A7*2-[0]!_g</f>
        <v>8.812666666666667</v>
      </c>
      <c r="D7" s="85">
        <f t="shared" si="0"/>
        <v>8.812666666666667</v>
      </c>
      <c r="E7" s="85">
        <f t="shared" si="1"/>
        <v>8.812666666666667</v>
      </c>
      <c r="F7" s="85">
        <f t="shared" si="2"/>
        <v>898.3350322799863</v>
      </c>
      <c r="G7" s="85">
        <f t="shared" si="3"/>
        <v>5390.010193679918</v>
      </c>
      <c r="I7" s="85">
        <f t="shared" si="4"/>
        <v>27.344666666666665</v>
      </c>
      <c r="J7" s="85">
        <f t="shared" si="5"/>
        <v>52.876</v>
      </c>
      <c r="K7" s="85">
        <f t="shared" si="6"/>
        <v>27.344666666666665</v>
      </c>
      <c r="L7" s="85">
        <f t="shared" si="7"/>
        <v>2787.427794767244</v>
      </c>
    </row>
    <row r="8" spans="1:12" ht="12.75">
      <c r="A8" s="85">
        <v>7</v>
      </c>
      <c r="B8" s="85">
        <f>[0]!_M*8/A8^2-[0]!_g</f>
        <v>6.661102040816326</v>
      </c>
      <c r="C8" s="85">
        <f>[0]!_V/Tabelle2!A8*2-[0]!_g</f>
        <v>7.534571428571428</v>
      </c>
      <c r="D8" s="85">
        <f t="shared" si="0"/>
        <v>6.661102040816326</v>
      </c>
      <c r="E8" s="85">
        <f t="shared" si="1"/>
        <v>6.661102040816326</v>
      </c>
      <c r="F8" s="85">
        <f t="shared" si="2"/>
        <v>679.0114210821943</v>
      </c>
      <c r="G8" s="85">
        <f t="shared" si="3"/>
        <v>4753.07994757536</v>
      </c>
      <c r="I8" s="85">
        <f t="shared" si="4"/>
        <v>23.31385714285714</v>
      </c>
      <c r="J8" s="85">
        <f t="shared" si="5"/>
        <v>52.742</v>
      </c>
      <c r="K8" s="85">
        <f t="shared" si="6"/>
        <v>23.31385714285714</v>
      </c>
      <c r="L8" s="85">
        <f t="shared" si="7"/>
        <v>2376.53997378768</v>
      </c>
    </row>
    <row r="9" spans="1:12" ht="12.75">
      <c r="A9" s="85">
        <v>8</v>
      </c>
      <c r="B9" s="85">
        <f>[0]!_M*8/A9^2-[0]!_g</f>
        <v>5.068499999999999</v>
      </c>
      <c r="C9" s="85">
        <f>[0]!_V/Tabelle2!A9*2-[0]!_g</f>
        <v>6.576</v>
      </c>
      <c r="D9" s="85">
        <f t="shared" si="0"/>
        <v>5.068499999999999</v>
      </c>
      <c r="E9" s="85">
        <f t="shared" si="1"/>
        <v>5.068499999999999</v>
      </c>
      <c r="F9" s="85">
        <f t="shared" si="2"/>
        <v>516.6666666666666</v>
      </c>
      <c r="G9" s="85">
        <f t="shared" si="3"/>
        <v>4133.333333333333</v>
      </c>
      <c r="I9" s="85">
        <f t="shared" si="4"/>
        <v>20.273999999999997</v>
      </c>
      <c r="J9" s="85">
        <f t="shared" si="5"/>
        <v>52.608</v>
      </c>
      <c r="K9" s="85">
        <f t="shared" si="6"/>
        <v>20.273999999999997</v>
      </c>
      <c r="L9" s="85">
        <f t="shared" si="7"/>
        <v>2066.666666666666</v>
      </c>
    </row>
    <row r="10" spans="1:12" ht="12.75">
      <c r="A10" s="85">
        <v>9</v>
      </c>
      <c r="B10" s="85">
        <f>[0]!_M*8/A10^2-[0]!_g</f>
        <v>3.9766172839506173</v>
      </c>
      <c r="C10" s="85">
        <f>[0]!_V/Tabelle2!A10*2-[0]!_g</f>
        <v>5.830444444444444</v>
      </c>
      <c r="D10" s="85">
        <f t="shared" si="0"/>
        <v>3.9766172839506173</v>
      </c>
      <c r="E10" s="85">
        <f t="shared" si="1"/>
        <v>3.9766172839506173</v>
      </c>
      <c r="F10" s="85">
        <f t="shared" si="2"/>
        <v>405.3636375077082</v>
      </c>
      <c r="G10" s="85">
        <f t="shared" si="3"/>
        <v>3648.2727375693735</v>
      </c>
      <c r="I10" s="85">
        <f t="shared" si="4"/>
        <v>17.894777777777776</v>
      </c>
      <c r="J10" s="85">
        <f t="shared" si="5"/>
        <v>52.474</v>
      </c>
      <c r="K10" s="85">
        <f t="shared" si="6"/>
        <v>17.894777777777776</v>
      </c>
      <c r="L10" s="85">
        <f t="shared" si="7"/>
        <v>1824.1363687846867</v>
      </c>
    </row>
    <row r="11" spans="1:12" ht="12.75">
      <c r="A11" s="85">
        <v>10</v>
      </c>
      <c r="B11" s="85">
        <f>[0]!_M*8/A11^2-[0]!_g</f>
        <v>3.1955999999999998</v>
      </c>
      <c r="C11" s="85">
        <f>[0]!_V/Tabelle2!A11*2-[0]!_g</f>
        <v>5.234</v>
      </c>
      <c r="D11" s="85">
        <f t="shared" si="0"/>
        <v>3.1955999999999998</v>
      </c>
      <c r="E11" s="85">
        <f t="shared" si="1"/>
        <v>3.1955999999999998</v>
      </c>
      <c r="F11" s="85">
        <f t="shared" si="2"/>
        <v>325.74923547400607</v>
      </c>
      <c r="G11" s="85">
        <f t="shared" si="3"/>
        <v>3257.492354740061</v>
      </c>
      <c r="I11" s="85">
        <f t="shared" si="4"/>
        <v>15.978</v>
      </c>
      <c r="J11" s="85">
        <f t="shared" si="5"/>
        <v>52.339999999999996</v>
      </c>
      <c r="K11" s="85">
        <f t="shared" si="6"/>
        <v>15.978</v>
      </c>
      <c r="L11" s="85">
        <f t="shared" si="7"/>
        <v>1628.7461773700304</v>
      </c>
    </row>
    <row r="12" spans="1:12" ht="12.75">
      <c r="A12" s="85">
        <v>11</v>
      </c>
      <c r="B12" s="85">
        <f>[0]!_M*8/A12^2-[0]!_g</f>
        <v>2.617735537190083</v>
      </c>
      <c r="C12" s="85">
        <f>[0]!_V/Tabelle2!A12*2-[0]!_g</f>
        <v>4.7459999999999996</v>
      </c>
      <c r="D12" s="85">
        <f t="shared" si="0"/>
        <v>2.617735537190083</v>
      </c>
      <c r="E12" s="85">
        <f t="shared" si="1"/>
        <v>2.617735537190083</v>
      </c>
      <c r="F12" s="85">
        <f t="shared" si="2"/>
        <v>266.84358177268933</v>
      </c>
      <c r="G12" s="85">
        <f t="shared" si="3"/>
        <v>2935.2793994995827</v>
      </c>
      <c r="I12" s="85">
        <f t="shared" si="4"/>
        <v>14.397545454545453</v>
      </c>
      <c r="J12" s="85">
        <f t="shared" si="5"/>
        <v>52.206</v>
      </c>
      <c r="K12" s="85">
        <f t="shared" si="6"/>
        <v>14.397545454545453</v>
      </c>
      <c r="L12" s="85">
        <f t="shared" si="7"/>
        <v>1467.6396997497911</v>
      </c>
    </row>
    <row r="13" spans="1:12" ht="12.75">
      <c r="A13" s="85">
        <v>12</v>
      </c>
      <c r="B13" s="85">
        <f>[0]!_M*8/A13^2-[0]!_g</f>
        <v>2.1782222222222223</v>
      </c>
      <c r="C13" s="85">
        <f>[0]!_V/Tabelle2!A13*2-[0]!_g</f>
        <v>4.339333333333333</v>
      </c>
      <c r="D13" s="85">
        <f t="shared" si="0"/>
        <v>2.1782222222222223</v>
      </c>
      <c r="E13" s="85">
        <f t="shared" si="1"/>
        <v>2.1782222222222223</v>
      </c>
      <c r="F13" s="85">
        <f t="shared" si="2"/>
        <v>222.04100124589422</v>
      </c>
      <c r="G13" s="85">
        <f t="shared" si="3"/>
        <v>2664.4920149507307</v>
      </c>
      <c r="I13" s="85">
        <f t="shared" si="4"/>
        <v>13.069333333333333</v>
      </c>
      <c r="J13" s="85">
        <f t="shared" si="5"/>
        <v>52.072</v>
      </c>
      <c r="K13" s="85">
        <f t="shared" si="6"/>
        <v>13.069333333333333</v>
      </c>
      <c r="L13" s="85">
        <f t="shared" si="7"/>
        <v>1332.246007475365</v>
      </c>
    </row>
    <row r="14" spans="1:12" ht="12.75">
      <c r="A14" s="85">
        <v>13</v>
      </c>
      <c r="B14" s="85">
        <f>[0]!_M*8/A14^2-[0]!_g</f>
        <v>1.8361775147928991</v>
      </c>
      <c r="C14" s="85">
        <f>[0]!_V/Tabelle2!A14*2-[0]!_g</f>
        <v>3.9952307692307696</v>
      </c>
      <c r="D14" s="85">
        <f t="shared" si="0"/>
        <v>1.8361775147928991</v>
      </c>
      <c r="E14" s="85">
        <f t="shared" si="1"/>
        <v>1.8361775147928991</v>
      </c>
      <c r="F14" s="85">
        <f t="shared" si="2"/>
        <v>187.1740585925483</v>
      </c>
      <c r="G14" s="85">
        <f t="shared" si="3"/>
        <v>2433.262761703128</v>
      </c>
      <c r="I14" s="85">
        <f t="shared" si="4"/>
        <v>11.935153846153845</v>
      </c>
      <c r="J14" s="85">
        <f t="shared" si="5"/>
        <v>51.938</v>
      </c>
      <c r="K14" s="85">
        <f t="shared" si="6"/>
        <v>11.935153846153845</v>
      </c>
      <c r="L14" s="85">
        <f t="shared" si="7"/>
        <v>1216.6313808515642</v>
      </c>
    </row>
    <row r="15" spans="1:12" ht="12.75">
      <c r="A15" s="85">
        <v>14</v>
      </c>
      <c r="B15" s="85">
        <f>[0]!_M*8/A15^2-[0]!_g</f>
        <v>1.5647755102040817</v>
      </c>
      <c r="C15" s="85">
        <f>[0]!_V/Tabelle2!A15*2-[0]!_g</f>
        <v>3.700285714285714</v>
      </c>
      <c r="D15" s="85">
        <f t="shared" si="0"/>
        <v>1.5647755102040817</v>
      </c>
      <c r="E15" s="85">
        <f t="shared" si="1"/>
        <v>1.5647755102040817</v>
      </c>
      <c r="F15" s="85">
        <f t="shared" si="2"/>
        <v>159.5082069525058</v>
      </c>
      <c r="G15" s="85">
        <f t="shared" si="3"/>
        <v>2233.114897335081</v>
      </c>
      <c r="I15" s="85">
        <f t="shared" si="4"/>
        <v>10.95342857142857</v>
      </c>
      <c r="J15" s="85">
        <f t="shared" si="5"/>
        <v>51.804</v>
      </c>
      <c r="K15" s="85">
        <f t="shared" si="6"/>
        <v>10.95342857142857</v>
      </c>
      <c r="L15" s="85">
        <f t="shared" si="7"/>
        <v>1116.5574486675403</v>
      </c>
    </row>
    <row r="16" spans="1:12" ht="12.75">
      <c r="A16" s="85">
        <v>15</v>
      </c>
      <c r="B16" s="85">
        <f>[0]!_M*8/A16^2-[0]!_g</f>
        <v>1.345822222222222</v>
      </c>
      <c r="C16" s="85">
        <f>[0]!_V/Tabelle2!A16*2-[0]!_g</f>
        <v>3.4446666666666665</v>
      </c>
      <c r="D16" s="85">
        <f t="shared" si="0"/>
        <v>1.345822222222222</v>
      </c>
      <c r="E16" s="85">
        <f t="shared" si="1"/>
        <v>1.345822222222222</v>
      </c>
      <c r="F16" s="85">
        <f t="shared" si="2"/>
        <v>137.1888096047117</v>
      </c>
      <c r="G16" s="85">
        <f t="shared" si="3"/>
        <v>2057.8321440706754</v>
      </c>
      <c r="I16" s="85">
        <f t="shared" si="4"/>
        <v>10.093666666666667</v>
      </c>
      <c r="J16" s="85">
        <f t="shared" si="5"/>
        <v>51.67</v>
      </c>
      <c r="K16" s="85">
        <f t="shared" si="6"/>
        <v>10.093666666666667</v>
      </c>
      <c r="L16" s="85">
        <f t="shared" si="7"/>
        <v>1028.9160720353382</v>
      </c>
    </row>
    <row r="17" spans="1:12" ht="12.75">
      <c r="A17" s="85">
        <v>16</v>
      </c>
      <c r="B17" s="85">
        <f>[0]!_M*8/A17^2-[0]!_g</f>
        <v>1.1666249999999998</v>
      </c>
      <c r="C17" s="85">
        <f>[0]!_V/Tabelle2!A17*2-[0]!_g</f>
        <v>3.221</v>
      </c>
      <c r="D17" s="85">
        <f t="shared" si="0"/>
        <v>1.1666249999999998</v>
      </c>
      <c r="E17" s="85">
        <f t="shared" si="1"/>
        <v>1.1666249999999998</v>
      </c>
      <c r="F17" s="85">
        <f t="shared" si="2"/>
        <v>118.92201834862382</v>
      </c>
      <c r="G17" s="85">
        <f t="shared" si="3"/>
        <v>1902.7522935779812</v>
      </c>
      <c r="I17" s="85">
        <f t="shared" si="4"/>
        <v>9.332999999999998</v>
      </c>
      <c r="J17" s="85">
        <f t="shared" si="5"/>
        <v>51.536</v>
      </c>
      <c r="K17" s="85">
        <f t="shared" si="6"/>
        <v>9.332999999999998</v>
      </c>
      <c r="L17" s="85">
        <f t="shared" si="7"/>
        <v>951.3761467889906</v>
      </c>
    </row>
    <row r="18" spans="1:12" ht="12.75">
      <c r="A18" s="85">
        <v>17</v>
      </c>
      <c r="B18" s="85">
        <f>[0]!_M*8/A18^2-[0]!_g</f>
        <v>1.0181107266435987</v>
      </c>
      <c r="C18" s="85">
        <f>[0]!_V/Tabelle2!A18*2-[0]!_g</f>
        <v>3.0236470588235296</v>
      </c>
      <c r="D18" s="85">
        <f t="shared" si="0"/>
        <v>1.0181107266435987</v>
      </c>
      <c r="E18" s="85">
        <f t="shared" si="1"/>
        <v>1.0181107266435987</v>
      </c>
      <c r="F18" s="85">
        <f t="shared" si="2"/>
        <v>103.7829486894596</v>
      </c>
      <c r="G18" s="85">
        <f t="shared" si="3"/>
        <v>1764.3101277208132</v>
      </c>
      <c r="I18" s="85">
        <f t="shared" si="4"/>
        <v>8.653941176470587</v>
      </c>
      <c r="J18" s="85">
        <f t="shared" si="5"/>
        <v>51.402</v>
      </c>
      <c r="K18" s="85">
        <f t="shared" si="6"/>
        <v>8.653941176470587</v>
      </c>
      <c r="L18" s="85">
        <f t="shared" si="7"/>
        <v>882.1550638604065</v>
      </c>
    </row>
    <row r="19" spans="1:12" ht="12.75">
      <c r="A19" s="85">
        <v>18</v>
      </c>
      <c r="B19" s="85">
        <f>[0]!_M*8/A19^2-[0]!_g</f>
        <v>0.8936543209876543</v>
      </c>
      <c r="C19" s="85">
        <f>[0]!_V/Tabelle2!A19*2-[0]!_g</f>
        <v>2.848222222222222</v>
      </c>
      <c r="D19" s="85">
        <f t="shared" si="0"/>
        <v>0.8936543209876543</v>
      </c>
      <c r="E19" s="85">
        <f t="shared" si="1"/>
        <v>0.8936543209876543</v>
      </c>
      <c r="F19" s="85">
        <f t="shared" si="2"/>
        <v>91.09626105888422</v>
      </c>
      <c r="G19" s="85">
        <f t="shared" si="3"/>
        <v>1639.732699059916</v>
      </c>
      <c r="I19" s="85">
        <f t="shared" si="4"/>
        <v>8.04288888888889</v>
      </c>
      <c r="J19" s="85">
        <f t="shared" si="5"/>
        <v>51.268</v>
      </c>
      <c r="K19" s="85">
        <f t="shared" si="6"/>
        <v>8.04288888888889</v>
      </c>
      <c r="L19" s="85">
        <f t="shared" si="7"/>
        <v>819.8663495299581</v>
      </c>
    </row>
    <row r="20" spans="1:12" ht="12.75">
      <c r="A20" s="85">
        <v>19</v>
      </c>
      <c r="B20" s="85">
        <f>[0]!_M*8/A20^2-[0]!_g</f>
        <v>0.7883268698060941</v>
      </c>
      <c r="C20" s="85">
        <f>[0]!_V/Tabelle2!A20*2-[0]!_g</f>
        <v>2.691263157894737</v>
      </c>
      <c r="D20" s="85">
        <f t="shared" si="0"/>
        <v>0.7883268698060941</v>
      </c>
      <c r="E20" s="85">
        <f t="shared" si="1"/>
        <v>0.7883268698060941</v>
      </c>
      <c r="F20" s="85">
        <f t="shared" si="2"/>
        <v>80.3595178191737</v>
      </c>
      <c r="G20" s="85">
        <f t="shared" si="3"/>
        <v>1526.8308385643004</v>
      </c>
      <c r="I20" s="85">
        <f t="shared" si="4"/>
        <v>7.489105263157893</v>
      </c>
      <c r="J20" s="85">
        <f t="shared" si="5"/>
        <v>51.134</v>
      </c>
      <c r="K20" s="85">
        <f t="shared" si="6"/>
        <v>7.489105263157893</v>
      </c>
      <c r="L20" s="85">
        <f t="shared" si="7"/>
        <v>763.4154192821501</v>
      </c>
    </row>
    <row r="21" spans="1:12" ht="12.75">
      <c r="A21" s="85">
        <v>20</v>
      </c>
      <c r="B21" s="85">
        <f>[0]!_M*8/A21^2-[0]!_g</f>
        <v>0.6983999999999999</v>
      </c>
      <c r="C21" s="85">
        <f>[0]!_V/Tabelle2!A21*2-[0]!_g</f>
        <v>2.5500000000000003</v>
      </c>
      <c r="D21" s="85">
        <f t="shared" si="0"/>
        <v>0.6983999999999999</v>
      </c>
      <c r="E21" s="85">
        <f t="shared" si="1"/>
        <v>0.6983999999999999</v>
      </c>
      <c r="F21" s="85">
        <f t="shared" si="2"/>
        <v>71.1926605504587</v>
      </c>
      <c r="G21" s="85">
        <f t="shared" si="3"/>
        <v>1423.853211009174</v>
      </c>
      <c r="I21" s="85">
        <f t="shared" si="4"/>
        <v>6.983999999999999</v>
      </c>
      <c r="J21" s="85">
        <f t="shared" si="5"/>
        <v>51</v>
      </c>
      <c r="K21" s="85">
        <f t="shared" si="6"/>
        <v>6.983999999999999</v>
      </c>
      <c r="L21" s="85">
        <f t="shared" si="7"/>
        <v>711.926605504587</v>
      </c>
    </row>
    <row r="22" spans="1:12" ht="12.75">
      <c r="A22" s="85">
        <v>21</v>
      </c>
      <c r="B22" s="85">
        <f>[0]!_M*8/A22^2-[0]!_g</f>
        <v>0.6210113378684806</v>
      </c>
      <c r="C22" s="85">
        <f>[0]!_V/Tabelle2!A22*2-[0]!_g</f>
        <v>2.4221904761904764</v>
      </c>
      <c r="D22" s="85">
        <f t="shared" si="0"/>
        <v>0.6210113378684806</v>
      </c>
      <c r="E22" s="85">
        <f t="shared" si="1"/>
        <v>0.6210113378684806</v>
      </c>
      <c r="F22" s="85">
        <f t="shared" si="2"/>
        <v>63.303908039600465</v>
      </c>
      <c r="G22" s="85">
        <f t="shared" si="3"/>
        <v>1329.3820688316098</v>
      </c>
      <c r="I22" s="85">
        <f t="shared" si="4"/>
        <v>6.520619047619047</v>
      </c>
      <c r="J22" s="85">
        <f t="shared" si="5"/>
        <v>50.866</v>
      </c>
      <c r="K22" s="85">
        <f t="shared" si="6"/>
        <v>6.520619047619047</v>
      </c>
      <c r="L22" s="85">
        <f t="shared" si="7"/>
        <v>664.691034415805</v>
      </c>
    </row>
    <row r="23" spans="1:12" ht="12.75">
      <c r="A23" s="85">
        <v>22</v>
      </c>
      <c r="B23" s="85">
        <f>[0]!_M*8/A23^2-[0]!_g</f>
        <v>0.5539338842975207</v>
      </c>
      <c r="C23" s="85">
        <f>[0]!_V/Tabelle2!A23*2-[0]!_g</f>
        <v>2.306</v>
      </c>
      <c r="D23" s="85">
        <f t="shared" si="0"/>
        <v>0.5539338842975207</v>
      </c>
      <c r="E23" s="85">
        <f t="shared" si="1"/>
        <v>0.5539338842975207</v>
      </c>
      <c r="F23" s="85">
        <f t="shared" si="2"/>
        <v>56.46624712512952</v>
      </c>
      <c r="G23" s="85">
        <f t="shared" si="3"/>
        <v>1242.2574367528493</v>
      </c>
      <c r="I23" s="85">
        <f t="shared" si="4"/>
        <v>6.093272727272727</v>
      </c>
      <c r="J23" s="85">
        <f t="shared" si="5"/>
        <v>50.732</v>
      </c>
      <c r="K23" s="85">
        <f t="shared" si="6"/>
        <v>6.093272727272727</v>
      </c>
      <c r="L23" s="85">
        <f t="shared" si="7"/>
        <v>621.1287183764248</v>
      </c>
    </row>
    <row r="24" spans="1:12" ht="12.75">
      <c r="A24" s="85">
        <v>23</v>
      </c>
      <c r="B24" s="85">
        <f>[0]!_M*8/A24^2-[0]!_g</f>
        <v>0.4954139886578449</v>
      </c>
      <c r="C24" s="85">
        <f>[0]!_V/Tabelle2!A24*2-[0]!_g</f>
        <v>2.199913043478261</v>
      </c>
      <c r="D24" s="85">
        <f t="shared" si="0"/>
        <v>0.4954139886578449</v>
      </c>
      <c r="E24" s="85">
        <f t="shared" si="1"/>
        <v>0.4954139886578449</v>
      </c>
      <c r="F24" s="85">
        <f t="shared" si="2"/>
        <v>50.50091627500967</v>
      </c>
      <c r="G24" s="85">
        <f t="shared" si="3"/>
        <v>1161.5210743252223</v>
      </c>
      <c r="I24" s="85">
        <f t="shared" si="4"/>
        <v>5.697260869565216</v>
      </c>
      <c r="J24" s="85">
        <f t="shared" si="5"/>
        <v>50.598</v>
      </c>
      <c r="K24" s="85">
        <f t="shared" si="6"/>
        <v>5.697260869565216</v>
      </c>
      <c r="L24" s="85">
        <f t="shared" si="7"/>
        <v>580.7605371626112</v>
      </c>
    </row>
    <row r="25" spans="1:12" ht="12.75">
      <c r="A25" s="85">
        <v>24</v>
      </c>
      <c r="B25" s="85">
        <f>[0]!_M*8/A25^2-[0]!_g</f>
        <v>0.44405555555555554</v>
      </c>
      <c r="C25" s="85">
        <f>[0]!_V/Tabelle2!A25*2-[0]!_g</f>
        <v>2.102666666666667</v>
      </c>
      <c r="D25" s="85">
        <f t="shared" si="0"/>
        <v>0.44405555555555554</v>
      </c>
      <c r="E25" s="85">
        <f t="shared" si="1"/>
        <v>0.44405555555555554</v>
      </c>
      <c r="F25" s="85">
        <f t="shared" si="2"/>
        <v>45.265601993430735</v>
      </c>
      <c r="G25" s="85">
        <f t="shared" si="3"/>
        <v>1086.3744478423378</v>
      </c>
      <c r="I25" s="85">
        <f t="shared" si="4"/>
        <v>5.328666666666666</v>
      </c>
      <c r="J25" s="85">
        <f t="shared" si="5"/>
        <v>50.464</v>
      </c>
      <c r="K25" s="85">
        <f t="shared" si="6"/>
        <v>5.328666666666666</v>
      </c>
      <c r="L25" s="85">
        <f t="shared" si="7"/>
        <v>543.1872239211688</v>
      </c>
    </row>
    <row r="26" spans="1:12" ht="12.75">
      <c r="A26" s="85">
        <v>25</v>
      </c>
      <c r="B26" s="85">
        <f>[0]!_M*8/A26^2-[0]!_g</f>
        <v>0.398736</v>
      </c>
      <c r="C26" s="85">
        <f>[0]!_V/Tabelle2!A26*2-[0]!_g</f>
        <v>2.0132</v>
      </c>
      <c r="D26" s="85">
        <f t="shared" si="0"/>
        <v>0.398736</v>
      </c>
      <c r="E26" s="85">
        <f t="shared" si="1"/>
        <v>0.398736</v>
      </c>
      <c r="F26" s="85">
        <f t="shared" si="2"/>
        <v>40.64587155963302</v>
      </c>
      <c r="G26" s="85">
        <f t="shared" si="3"/>
        <v>1016.1467889908256</v>
      </c>
      <c r="I26" s="85">
        <f t="shared" si="4"/>
        <v>4.9841999999999995</v>
      </c>
      <c r="J26" s="85">
        <f t="shared" si="5"/>
        <v>50.33</v>
      </c>
      <c r="K26" s="85">
        <f t="shared" si="6"/>
        <v>4.9841999999999995</v>
      </c>
      <c r="L26" s="85">
        <f t="shared" si="7"/>
        <v>508.0733944954128</v>
      </c>
    </row>
    <row r="27" spans="1:12" ht="12.75">
      <c r="A27" s="85">
        <v>26</v>
      </c>
      <c r="B27" s="85">
        <f>[0]!_M*8/A27^2-[0]!_g</f>
        <v>0.3585443786982248</v>
      </c>
      <c r="C27" s="85">
        <f>[0]!_V/Tabelle2!A27*2-[0]!_g</f>
        <v>1.9306153846153848</v>
      </c>
      <c r="D27" s="85">
        <f t="shared" si="0"/>
        <v>0.3585443786982248</v>
      </c>
      <c r="E27" s="85">
        <f t="shared" si="1"/>
        <v>0.3585443786982248</v>
      </c>
      <c r="F27" s="85">
        <f t="shared" si="2"/>
        <v>36.54886633009427</v>
      </c>
      <c r="G27" s="85">
        <f t="shared" si="3"/>
        <v>950.270524582451</v>
      </c>
      <c r="I27" s="85">
        <f t="shared" si="4"/>
        <v>4.661076923076923</v>
      </c>
      <c r="J27" s="85">
        <f t="shared" si="5"/>
        <v>50.196</v>
      </c>
      <c r="K27" s="85">
        <f t="shared" si="6"/>
        <v>4.661076923076923</v>
      </c>
      <c r="L27" s="85">
        <f t="shared" si="7"/>
        <v>475.13526229122556</v>
      </c>
    </row>
    <row r="28" spans="1:12" ht="12.75">
      <c r="A28" s="85">
        <v>27</v>
      </c>
      <c r="B28" s="85">
        <f>[0]!_M*8/A28^2-[0]!_g</f>
        <v>0.3227352537722908</v>
      </c>
      <c r="C28" s="85">
        <f>[0]!_V/Tabelle2!A28*2-[0]!_g</f>
        <v>1.8541481481481483</v>
      </c>
      <c r="D28" s="85">
        <f t="shared" si="0"/>
        <v>0.3227352537722908</v>
      </c>
      <c r="E28" s="85">
        <f t="shared" si="1"/>
        <v>0.3227352537722908</v>
      </c>
      <c r="F28" s="85">
        <f t="shared" si="2"/>
        <v>32.898598753546466</v>
      </c>
      <c r="G28" s="85">
        <f t="shared" si="3"/>
        <v>888.2621663457546</v>
      </c>
      <c r="I28" s="85">
        <f t="shared" si="4"/>
        <v>4.356925925925926</v>
      </c>
      <c r="J28" s="85">
        <f t="shared" si="5"/>
        <v>50.062</v>
      </c>
      <c r="K28" s="85">
        <f t="shared" si="6"/>
        <v>4.356925925925926</v>
      </c>
      <c r="L28" s="85">
        <f t="shared" si="7"/>
        <v>444.13108317287725</v>
      </c>
    </row>
    <row r="29" spans="1:12" ht="12.75">
      <c r="A29" s="85">
        <v>28</v>
      </c>
      <c r="B29" s="85">
        <f>[0]!_M*8/A29^2-[0]!_g</f>
        <v>0.2906938775510204</v>
      </c>
      <c r="C29" s="85">
        <f>[0]!_V/Tabelle2!A29*2-[0]!_g</f>
        <v>1.783142857142857</v>
      </c>
      <c r="D29" s="85">
        <f t="shared" si="0"/>
        <v>0.2906938775510204</v>
      </c>
      <c r="E29" s="85">
        <f t="shared" si="1"/>
        <v>0.2906938775510204</v>
      </c>
      <c r="F29" s="85">
        <f t="shared" si="2"/>
        <v>29.632403420083627</v>
      </c>
      <c r="G29" s="85">
        <f t="shared" si="3"/>
        <v>829.7072957623416</v>
      </c>
      <c r="I29" s="85">
        <f t="shared" si="4"/>
        <v>4.069714285714285</v>
      </c>
      <c r="J29" s="85">
        <f t="shared" si="5"/>
        <v>49.928</v>
      </c>
      <c r="K29" s="85">
        <f t="shared" si="6"/>
        <v>4.069714285714285</v>
      </c>
      <c r="L29" s="85">
        <f t="shared" si="7"/>
        <v>414.85364788117073</v>
      </c>
    </row>
    <row r="30" spans="1:12" ht="12.75">
      <c r="A30" s="85">
        <v>29</v>
      </c>
      <c r="B30" s="85">
        <f>[0]!_M*8/A30^2-[0]!_g</f>
        <v>0.26190963139120094</v>
      </c>
      <c r="C30" s="85">
        <f>[0]!_V/Tabelle2!A30*2-[0]!_g</f>
        <v>1.7170344827586206</v>
      </c>
      <c r="D30" s="85">
        <f t="shared" si="0"/>
        <v>0.26190963139120094</v>
      </c>
      <c r="E30" s="85">
        <f t="shared" si="1"/>
        <v>0.26190963139120094</v>
      </c>
      <c r="F30" s="85">
        <f t="shared" si="2"/>
        <v>26.698229499612733</v>
      </c>
      <c r="G30" s="85">
        <f t="shared" si="3"/>
        <v>774.2486554887693</v>
      </c>
      <c r="I30" s="85">
        <f t="shared" si="4"/>
        <v>3.7976896551724133</v>
      </c>
      <c r="J30" s="85">
        <f t="shared" si="5"/>
        <v>49.794</v>
      </c>
      <c r="K30" s="85">
        <f t="shared" si="6"/>
        <v>3.7976896551724133</v>
      </c>
      <c r="L30" s="85">
        <f t="shared" si="7"/>
        <v>387.12432774438463</v>
      </c>
    </row>
    <row r="31" spans="1:12" ht="12.75">
      <c r="A31" s="85">
        <v>30</v>
      </c>
      <c r="B31" s="85">
        <f>[0]!_M*8/A31^2-[0]!_g</f>
        <v>0.23595555555555553</v>
      </c>
      <c r="C31" s="85">
        <f>[0]!_V/Tabelle2!A31*2-[0]!_g</f>
        <v>1.655333333333333</v>
      </c>
      <c r="D31" s="85">
        <f t="shared" si="0"/>
        <v>0.23595555555555553</v>
      </c>
      <c r="E31" s="85">
        <f t="shared" si="1"/>
        <v>0.23595555555555553</v>
      </c>
      <c r="F31" s="85">
        <f t="shared" si="2"/>
        <v>24.05255408313512</v>
      </c>
      <c r="G31" s="85">
        <f t="shared" si="3"/>
        <v>721.5766224940536</v>
      </c>
      <c r="I31" s="85">
        <f t="shared" si="4"/>
        <v>3.5393333333333326</v>
      </c>
      <c r="J31" s="85">
        <f t="shared" si="5"/>
        <v>49.66</v>
      </c>
      <c r="K31" s="85">
        <f t="shared" si="6"/>
        <v>3.5393333333333326</v>
      </c>
      <c r="L31" s="85">
        <f t="shared" si="7"/>
        <v>360.78831124702674</v>
      </c>
    </row>
    <row r="32" spans="1:12" ht="12.75">
      <c r="A32" s="85">
        <v>31</v>
      </c>
      <c r="B32" s="85">
        <f>[0]!_M*8/A32^2-[0]!_g</f>
        <v>0.21247242455775234</v>
      </c>
      <c r="C32" s="85">
        <f>[0]!_V/Tabelle2!A32*2-[0]!_g</f>
        <v>1.5976129032258064</v>
      </c>
      <c r="D32" s="85">
        <f t="shared" si="0"/>
        <v>0.21247242455775234</v>
      </c>
      <c r="E32" s="85">
        <f t="shared" si="1"/>
        <v>0.21247242455775234</v>
      </c>
      <c r="F32" s="85">
        <f t="shared" si="2"/>
        <v>21.658758874388617</v>
      </c>
      <c r="G32" s="85">
        <f t="shared" si="3"/>
        <v>671.4215251060472</v>
      </c>
      <c r="I32" s="85">
        <f t="shared" si="4"/>
        <v>3.293322580645161</v>
      </c>
      <c r="J32" s="85">
        <f t="shared" si="5"/>
        <v>49.525999999999996</v>
      </c>
      <c r="K32" s="85">
        <f t="shared" si="6"/>
        <v>3.293322580645161</v>
      </c>
      <c r="L32" s="85">
        <f t="shared" si="7"/>
        <v>335.7107625530235</v>
      </c>
    </row>
    <row r="33" spans="1:12" ht="12.75">
      <c r="A33" s="85">
        <v>32</v>
      </c>
      <c r="B33" s="85">
        <f>[0]!_M*8/A33^2-[0]!_g</f>
        <v>0.19115624999999997</v>
      </c>
      <c r="C33" s="85">
        <f>[0]!_V/Tabelle2!A33*2-[0]!_g</f>
        <v>1.5434999999999999</v>
      </c>
      <c r="D33" s="85">
        <f t="shared" si="0"/>
        <v>0.19115624999999997</v>
      </c>
      <c r="E33" s="85">
        <f t="shared" si="1"/>
        <v>0.19115624999999997</v>
      </c>
      <c r="F33" s="85">
        <f t="shared" si="2"/>
        <v>19.485856269113143</v>
      </c>
      <c r="G33" s="85">
        <f t="shared" si="3"/>
        <v>623.5474006116206</v>
      </c>
      <c r="I33" s="85">
        <f t="shared" si="4"/>
        <v>3.0584999999999996</v>
      </c>
      <c r="J33" s="85">
        <f t="shared" si="5"/>
        <v>49.391999999999996</v>
      </c>
      <c r="K33" s="85">
        <f t="shared" si="6"/>
        <v>3.0584999999999996</v>
      </c>
      <c r="L33" s="85">
        <f t="shared" si="7"/>
        <v>311.77370030581034</v>
      </c>
    </row>
    <row r="34" spans="1:12" ht="12.75">
      <c r="A34" s="85">
        <v>33</v>
      </c>
      <c r="B34" s="85">
        <f>[0]!_M*8/A34^2-[0]!_g</f>
        <v>0.17174839302112027</v>
      </c>
      <c r="C34" s="85">
        <f>[0]!_V/Tabelle2!A34*2-[0]!_g</f>
        <v>1.4926666666666666</v>
      </c>
      <c r="D34" s="85">
        <f t="shared" si="0"/>
        <v>0.17174839302112027</v>
      </c>
      <c r="E34" s="85">
        <f t="shared" si="1"/>
        <v>0.17174839302112027</v>
      </c>
      <c r="F34" s="85">
        <f t="shared" si="2"/>
        <v>17.507481449655483</v>
      </c>
      <c r="G34" s="85">
        <f t="shared" si="3"/>
        <v>577.746887838631</v>
      </c>
      <c r="I34" s="85">
        <f t="shared" si="4"/>
        <v>2.833848484848484</v>
      </c>
      <c r="J34" s="85">
        <f t="shared" si="5"/>
        <v>49.257999999999996</v>
      </c>
      <c r="K34" s="85">
        <f t="shared" si="6"/>
        <v>2.833848484848484</v>
      </c>
      <c r="L34" s="85">
        <f t="shared" si="7"/>
        <v>288.8734439193154</v>
      </c>
    </row>
    <row r="35" spans="1:12" ht="12.75">
      <c r="A35" s="85">
        <v>34</v>
      </c>
      <c r="B35" s="85">
        <f>[0]!_M*8/A35^2-[0]!_g</f>
        <v>0.15402768166089964</v>
      </c>
      <c r="C35" s="85">
        <f>[0]!_V/Tabelle2!A35*2-[0]!_g</f>
        <v>1.4448235294117646</v>
      </c>
      <c r="D35" s="85">
        <f t="shared" si="0"/>
        <v>0.15402768166089964</v>
      </c>
      <c r="E35" s="85">
        <f t="shared" si="1"/>
        <v>0.15402768166089964</v>
      </c>
      <c r="F35" s="85">
        <f t="shared" si="2"/>
        <v>15.701088854322084</v>
      </c>
      <c r="G35" s="85">
        <f t="shared" si="3"/>
        <v>533.8370210469509</v>
      </c>
      <c r="I35" s="85">
        <f t="shared" si="4"/>
        <v>2.6184705882352937</v>
      </c>
      <c r="J35" s="85">
        <f t="shared" si="5"/>
        <v>49.124</v>
      </c>
      <c r="K35" s="85">
        <f t="shared" si="6"/>
        <v>2.6184705882352937</v>
      </c>
      <c r="L35" s="85">
        <f t="shared" si="7"/>
        <v>266.9185105234754</v>
      </c>
    </row>
    <row r="36" spans="1:12" ht="12.75">
      <c r="A36" s="85">
        <v>35</v>
      </c>
      <c r="B36" s="85">
        <f>[0]!_M*8/A36^2-[0]!_g</f>
        <v>0.13780408163265306</v>
      </c>
      <c r="C36" s="85">
        <f>[0]!_V/Tabelle2!A36*2-[0]!_g</f>
        <v>1.399714285714286</v>
      </c>
      <c r="D36" s="85">
        <f t="shared" si="0"/>
        <v>0.13780408163265306</v>
      </c>
      <c r="E36" s="85">
        <f>IF(D36&gt;0,D36,"")</f>
        <v>0.13780408163265306</v>
      </c>
      <c r="F36" s="85">
        <f t="shared" si="2"/>
        <v>14.047306996192972</v>
      </c>
      <c r="G36" s="85">
        <f t="shared" si="3"/>
        <v>491.65574486675405</v>
      </c>
      <c r="I36" s="85">
        <f t="shared" si="4"/>
        <v>2.411571428571428</v>
      </c>
      <c r="J36" s="85">
        <f t="shared" si="5"/>
        <v>48.99</v>
      </c>
      <c r="K36" s="85">
        <f t="shared" si="6"/>
        <v>2.411571428571428</v>
      </c>
      <c r="L36" s="85">
        <f t="shared" si="7"/>
        <v>245.82787243337694</v>
      </c>
    </row>
    <row r="37" spans="1:12" ht="12.75">
      <c r="A37" s="85">
        <v>36</v>
      </c>
      <c r="B37" s="85">
        <f>[0]!_M*8/A37^2-[0]!_g</f>
        <v>0.12291358024691357</v>
      </c>
      <c r="C37" s="85">
        <f>[0]!_V/Tabelle2!A37*2-[0]!_g</f>
        <v>1.3571111111111112</v>
      </c>
      <c r="D37" s="85">
        <f t="shared" si="0"/>
        <v>0.12291358024691357</v>
      </c>
      <c r="E37" s="85">
        <f t="shared" si="1"/>
        <v>0.12291358024691357</v>
      </c>
      <c r="F37" s="85">
        <f t="shared" si="2"/>
        <v>12.529416946678243</v>
      </c>
      <c r="G37" s="85">
        <f t="shared" si="3"/>
        <v>451.0590100804167</v>
      </c>
      <c r="I37" s="85">
        <f t="shared" si="4"/>
        <v>2.212444444444444</v>
      </c>
      <c r="J37" s="85">
        <f t="shared" si="5"/>
        <v>48.856</v>
      </c>
      <c r="K37" s="85">
        <f t="shared" si="6"/>
        <v>2.212444444444444</v>
      </c>
      <c r="L37" s="85">
        <f t="shared" si="7"/>
        <v>225.52950504020833</v>
      </c>
    </row>
    <row r="38" spans="1:12" ht="12.75">
      <c r="A38" s="85">
        <v>37</v>
      </c>
      <c r="B38" s="85">
        <f>[0]!_M*8/A38^2-[0]!_g</f>
        <v>0.10921402483564643</v>
      </c>
      <c r="C38" s="85">
        <f>[0]!_V/Tabelle2!A38*2-[0]!_g</f>
        <v>1.3168108108108108</v>
      </c>
      <c r="D38" s="85">
        <f t="shared" si="0"/>
        <v>0.10921402483564643</v>
      </c>
      <c r="E38" s="85">
        <f t="shared" si="1"/>
        <v>0.10921402483564643</v>
      </c>
      <c r="F38" s="85">
        <f t="shared" si="2"/>
        <v>11.132928117802898</v>
      </c>
      <c r="G38" s="85">
        <f t="shared" si="3"/>
        <v>411.9183403587072</v>
      </c>
      <c r="I38" s="85">
        <f t="shared" si="4"/>
        <v>2.020459459459459</v>
      </c>
      <c r="J38" s="85">
        <f t="shared" si="5"/>
        <v>48.722</v>
      </c>
      <c r="K38" s="85">
        <f t="shared" si="6"/>
        <v>2.020459459459459</v>
      </c>
      <c r="L38" s="85">
        <f t="shared" si="7"/>
        <v>205.95917017935363</v>
      </c>
    </row>
    <row r="39" spans="1:12" ht="12.75">
      <c r="A39" s="85">
        <v>38</v>
      </c>
      <c r="B39" s="85">
        <f>[0]!_M*8/A39^2-[0]!_g</f>
        <v>0.09658171745152352</v>
      </c>
      <c r="C39" s="85">
        <f>[0]!_V/Tabelle2!A39*2-[0]!_g</f>
        <v>1.2786315789473686</v>
      </c>
      <c r="D39" s="85">
        <f t="shared" si="0"/>
        <v>0.09658171745152352</v>
      </c>
      <c r="E39" s="85">
        <f t="shared" si="1"/>
        <v>0.09658171745152352</v>
      </c>
      <c r="F39" s="85">
        <f t="shared" si="2"/>
        <v>9.845231136750614</v>
      </c>
      <c r="G39" s="85">
        <f t="shared" si="3"/>
        <v>374.11878319652334</v>
      </c>
      <c r="I39" s="85">
        <f t="shared" si="4"/>
        <v>1.835052631578947</v>
      </c>
      <c r="J39" s="85">
        <f t="shared" si="5"/>
        <v>48.588</v>
      </c>
      <c r="K39" s="85">
        <f t="shared" si="6"/>
        <v>1.835052631578947</v>
      </c>
      <c r="L39" s="85">
        <f t="shared" si="7"/>
        <v>187.05939159826167</v>
      </c>
    </row>
    <row r="40" spans="1:12" ht="12.75">
      <c r="A40" s="85">
        <v>39</v>
      </c>
      <c r="B40" s="85">
        <f>[0]!_M*8/A40^2-[0]!_g</f>
        <v>0.08490861275476658</v>
      </c>
      <c r="C40" s="85">
        <f>[0]!_V/Tabelle2!A40*2-[0]!_g</f>
        <v>1.2424102564102566</v>
      </c>
      <c r="D40" s="85">
        <f t="shared" si="0"/>
        <v>0.08490861275476658</v>
      </c>
      <c r="E40" s="85">
        <f t="shared" si="1"/>
        <v>0.08490861275476658</v>
      </c>
      <c r="F40" s="85">
        <f t="shared" si="2"/>
        <v>8.655312207417591</v>
      </c>
      <c r="G40" s="85">
        <f t="shared" si="3"/>
        <v>337.55717608928603</v>
      </c>
      <c r="I40" s="85">
        <f t="shared" si="4"/>
        <v>1.655717948717948</v>
      </c>
      <c r="J40" s="85">
        <f t="shared" si="5"/>
        <v>48.454</v>
      </c>
      <c r="K40" s="85">
        <f t="shared" si="6"/>
        <v>1.655717948717948</v>
      </c>
      <c r="L40" s="85">
        <f t="shared" si="7"/>
        <v>168.77858804464302</v>
      </c>
    </row>
    <row r="41" spans="1:12" ht="12.75">
      <c r="A41" s="85">
        <v>40</v>
      </c>
      <c r="B41" s="85">
        <f>[0]!_M*8/A41^2-[0]!_g</f>
        <v>0.07409999999999997</v>
      </c>
      <c r="C41" s="85">
        <f>[0]!_V/Tabelle2!A41*2-[0]!_g</f>
        <v>1.2080000000000002</v>
      </c>
      <c r="D41" s="85">
        <f t="shared" si="0"/>
        <v>0.07409999999999997</v>
      </c>
      <c r="E41" s="85">
        <f t="shared" si="1"/>
        <v>0.07409999999999997</v>
      </c>
      <c r="F41" s="85">
        <f t="shared" si="2"/>
        <v>7.553516819571862</v>
      </c>
      <c r="G41" s="85">
        <f t="shared" si="3"/>
        <v>302.1406727828745</v>
      </c>
      <c r="I41" s="85">
        <f t="shared" si="4"/>
        <v>1.4819999999999998</v>
      </c>
      <c r="J41" s="85">
        <f t="shared" si="5"/>
        <v>48.32</v>
      </c>
      <c r="K41" s="85">
        <f t="shared" si="6"/>
        <v>1.4819999999999998</v>
      </c>
      <c r="L41" s="85">
        <f t="shared" si="7"/>
        <v>151.07033639143728</v>
      </c>
    </row>
  </sheetData>
  <sheetProtection password="DC49" sheet="1" objects="1" scenarios="1"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C5" sqref="C5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1:A1"/>
  <sheetViews>
    <sheetView workbookViewId="0" topLeftCell="A1">
      <selection activeCell="A1" sqref="A1:A2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Expo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Lück</dc:creator>
  <cp:keywords/>
  <dc:description/>
  <cp:lastModifiedBy>BV Eurotruss</cp:lastModifiedBy>
  <cp:lastPrinted>2001-05-26T11:15:21Z</cp:lastPrinted>
  <dcterms:created xsi:type="dcterms:W3CDTF">1997-09-29T08:44:54Z</dcterms:created>
  <dcterms:modified xsi:type="dcterms:W3CDTF">2006-11-13T15:46:06Z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